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360" windowHeight="9315" activeTab="2"/>
  </bookViews>
  <sheets>
    <sheet name="Line-Up" sheetId="1" r:id="rId1"/>
    <sheet name="Player Stats" sheetId="2" r:id="rId2"/>
    <sheet name="CO-ED Standings" sheetId="3" r:id="rId3"/>
  </sheets>
  <definedNames/>
  <calcPr fullCalcOnLoad="1"/>
</workbook>
</file>

<file path=xl/sharedStrings.xml><?xml version="1.0" encoding="utf-8"?>
<sst xmlns="http://schemas.openxmlformats.org/spreadsheetml/2006/main" count="145" uniqueCount="72">
  <si>
    <t>Team</t>
  </si>
  <si>
    <t>RF</t>
  </si>
  <si>
    <t>RA</t>
  </si>
  <si>
    <t>ARF</t>
  </si>
  <si>
    <t>ARA</t>
  </si>
  <si>
    <t>VAR</t>
  </si>
  <si>
    <t>Hits</t>
  </si>
  <si>
    <t>AB</t>
  </si>
  <si>
    <t>AVG.</t>
  </si>
  <si>
    <t>RS</t>
  </si>
  <si>
    <t>BB</t>
  </si>
  <si>
    <t>G</t>
  </si>
  <si>
    <t>SAC</t>
  </si>
  <si>
    <t>TB</t>
  </si>
  <si>
    <t>On Base %</t>
  </si>
  <si>
    <t>Slugging %</t>
  </si>
  <si>
    <t>2b</t>
  </si>
  <si>
    <t>3b</t>
  </si>
  <si>
    <t>HR</t>
  </si>
  <si>
    <t>1b</t>
  </si>
  <si>
    <t>RBI</t>
  </si>
  <si>
    <t>Line-Up</t>
  </si>
  <si>
    <t>Avg.</t>
  </si>
  <si>
    <t>Avg. Hits per Game</t>
  </si>
  <si>
    <t>Played Games</t>
  </si>
  <si>
    <t>Mulbiremotorsports.com (3)</t>
  </si>
  <si>
    <t>Bare Essentials (4)</t>
  </si>
  <si>
    <t>Record</t>
  </si>
  <si>
    <t>Mulbiremotorsports (3)</t>
  </si>
  <si>
    <t>at Bare Essentials (4)</t>
  </si>
  <si>
    <t>at Mulbiremotorsports (3)</t>
  </si>
  <si>
    <t>Schedule</t>
  </si>
  <si>
    <t>Click The Tabs Below Player Stats and Line-Up</t>
  </si>
  <si>
    <t>Name-Men</t>
  </si>
  <si>
    <t>Name-Women</t>
  </si>
  <si>
    <t>Winter League 2002</t>
  </si>
  <si>
    <t>Sunset Grille (1)</t>
  </si>
  <si>
    <t>Dermik Labs (2)</t>
  </si>
  <si>
    <t>Grace Lutheran Church (5)</t>
  </si>
  <si>
    <t>Raymond James (6)</t>
  </si>
  <si>
    <t>at Sunset Grille (1)</t>
  </si>
  <si>
    <t>at Grace Lutheran (5)</t>
  </si>
  <si>
    <t>at Raymond James (6)</t>
  </si>
  <si>
    <t>Grace Lutheran (5)</t>
  </si>
  <si>
    <t>at Dermik Labs (2)</t>
  </si>
  <si>
    <t>Chris</t>
  </si>
  <si>
    <t>Terry</t>
  </si>
  <si>
    <t>Bryan</t>
  </si>
  <si>
    <t>Rob</t>
  </si>
  <si>
    <t>Mark</t>
  </si>
  <si>
    <t>Mike</t>
  </si>
  <si>
    <t>Trish</t>
  </si>
  <si>
    <t>Angela</t>
  </si>
  <si>
    <t>Paula</t>
  </si>
  <si>
    <t>Heather</t>
  </si>
  <si>
    <t>Wendy</t>
  </si>
  <si>
    <t>RF=Runs For</t>
  </si>
  <si>
    <t>RA=Runs Againest</t>
  </si>
  <si>
    <t>ARF=Avg. runs for</t>
  </si>
  <si>
    <t>ARA-Avg. runs againest</t>
  </si>
  <si>
    <t>Var=Variance</t>
  </si>
  <si>
    <t>Erin</t>
  </si>
  <si>
    <t>Heidi</t>
  </si>
  <si>
    <t>Team Batting Avg.</t>
  </si>
  <si>
    <t>Randy</t>
  </si>
  <si>
    <t>Squatty</t>
  </si>
  <si>
    <t>Dan</t>
  </si>
  <si>
    <t>Avg. hits per game played:</t>
  </si>
  <si>
    <t>Drex</t>
  </si>
  <si>
    <t>Jeff</t>
  </si>
  <si>
    <t>Christi</t>
  </si>
  <si>
    <t>Candy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</si>
</sst>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.000"/>
    <numFmt numFmtId="167" formatCode="m/d/yyyy"/>
    <numFmt numFmtId="168" formatCode="0.0000"/>
    <numFmt numFmtId="169" formatCode="0.000;[Red]0.000"/>
    <numFmt numFmtId="170" formatCode="mmm\-d"/>
    <numFmt numFmtId="171" formatCode="0.00000000"/>
    <numFmt numFmtId="172" formatCode="0.0000000"/>
    <numFmt numFmtId="173" formatCode="0.000000"/>
    <numFmt numFmtId="174" formatCode="0.00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2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64" fontId="5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66" fontId="0" fillId="0" borderId="0" xfId="0" applyNumberFormat="1" applyFont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66" fontId="1" fillId="2" borderId="0" xfId="21" applyNumberFormat="1" applyFont="1" applyFill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166" fontId="1" fillId="3" borderId="0" xfId="21" applyNumberFormat="1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center"/>
    </xf>
    <xf numFmtId="166" fontId="1" fillId="2" borderId="0" xfId="21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" fontId="1" fillId="3" borderId="0" xfId="0" applyNumberFormat="1" applyFont="1" applyFill="1" applyAlignment="1">
      <alignment horizontal="center"/>
    </xf>
    <xf numFmtId="166" fontId="1" fillId="3" borderId="0" xfId="0" applyNumberFormat="1" applyFont="1" applyFill="1" applyAlignment="1">
      <alignment horizontal="center"/>
    </xf>
    <xf numFmtId="0" fontId="1" fillId="3" borderId="0" xfId="0" applyFont="1" applyFill="1" applyBorder="1" applyAlignment="1">
      <alignment/>
    </xf>
    <xf numFmtId="1" fontId="1" fillId="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" fontId="0" fillId="0" borderId="0" xfId="0" applyNumberFormat="1" applyAlignment="1">
      <alignment horizontal="right"/>
    </xf>
    <xf numFmtId="1" fontId="1" fillId="2" borderId="1" xfId="0" applyNumberFormat="1" applyFont="1" applyFill="1" applyBorder="1" applyAlignment="1">
      <alignment horizontal="center"/>
    </xf>
    <xf numFmtId="1" fontId="1" fillId="3" borderId="0" xfId="21" applyNumberFormat="1" applyFont="1" applyFill="1" applyAlignment="1">
      <alignment horizontal="center"/>
    </xf>
    <xf numFmtId="1" fontId="1" fillId="3" borderId="0" xfId="21" applyNumberFormat="1" applyFont="1" applyFill="1" applyBorder="1" applyAlignment="1">
      <alignment horizontal="center"/>
    </xf>
    <xf numFmtId="1" fontId="1" fillId="2" borderId="0" xfId="21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166" fontId="6" fillId="0" borderId="1" xfId="0" applyNumberFormat="1" applyFont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1" fontId="1" fillId="0" borderId="0" xfId="0" applyNumberFormat="1" applyFont="1" applyAlignment="1">
      <alignment horizontal="left"/>
    </xf>
    <xf numFmtId="18" fontId="0" fillId="0" borderId="0" xfId="0" applyNumberFormat="1" applyFont="1" applyBorder="1" applyAlignment="1">
      <alignment horizontal="left"/>
    </xf>
    <xf numFmtId="170" fontId="0" fillId="0" borderId="0" xfId="0" applyNumberFormat="1" applyFont="1" applyAlignment="1">
      <alignment horizontal="righ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/>
    </xf>
    <xf numFmtId="0" fontId="11" fillId="2" borderId="7" xfId="0" applyFont="1" applyFill="1" applyBorder="1" applyAlignment="1">
      <alignment horizontal="center"/>
    </xf>
    <xf numFmtId="164" fontId="11" fillId="2" borderId="7" xfId="0" applyNumberFormat="1" applyFont="1" applyFill="1" applyBorder="1" applyAlignment="1">
      <alignment/>
    </xf>
    <xf numFmtId="164" fontId="11" fillId="2" borderId="7" xfId="0" applyNumberFormat="1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166" fontId="1" fillId="3" borderId="1" xfId="21" applyNumberFormat="1" applyFont="1" applyFill="1" applyBorder="1" applyAlignment="1">
      <alignment horizontal="center"/>
    </xf>
    <xf numFmtId="1" fontId="1" fillId="3" borderId="1" xfId="21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/>
    </xf>
    <xf numFmtId="1" fontId="13" fillId="0" borderId="12" xfId="0" applyNumberFormat="1" applyFont="1" applyBorder="1" applyAlignment="1">
      <alignment horizontal="center"/>
    </xf>
    <xf numFmtId="0" fontId="13" fillId="0" borderId="11" xfId="0" applyFont="1" applyFill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1" fontId="13" fillId="0" borderId="0" xfId="0" applyNumberFormat="1" applyFont="1" applyBorder="1" applyAlignment="1">
      <alignment/>
    </xf>
    <xf numFmtId="1" fontId="13" fillId="0" borderId="13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164" fontId="13" fillId="0" borderId="0" xfId="0" applyNumberFormat="1" applyFont="1" applyBorder="1" applyAlignment="1">
      <alignment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164" fontId="13" fillId="0" borderId="1" xfId="0" applyNumberFormat="1" applyFont="1" applyBorder="1" applyAlignment="1">
      <alignment/>
    </xf>
    <xf numFmtId="1" fontId="13" fillId="0" borderId="14" xfId="0" applyNumberFormat="1" applyFont="1" applyBorder="1" applyAlignment="1">
      <alignment horizontal="center"/>
    </xf>
    <xf numFmtId="0" fontId="13" fillId="0" borderId="7" xfId="0" applyFont="1" applyBorder="1" applyAlignment="1">
      <alignment/>
    </xf>
    <xf numFmtId="164" fontId="13" fillId="0" borderId="7" xfId="0" applyNumberFormat="1" applyFont="1" applyBorder="1" applyAlignment="1">
      <alignment/>
    </xf>
    <xf numFmtId="1" fontId="13" fillId="0" borderId="15" xfId="0" applyNumberFormat="1" applyFont="1" applyBorder="1" applyAlignment="1">
      <alignment horizontal="center"/>
    </xf>
    <xf numFmtId="164" fontId="12" fillId="3" borderId="16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166" fontId="1" fillId="3" borderId="0" xfId="21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164" fontId="15" fillId="0" borderId="11" xfId="0" applyNumberFormat="1" applyFont="1" applyBorder="1" applyAlignment="1">
      <alignment/>
    </xf>
    <xf numFmtId="1" fontId="15" fillId="0" borderId="12" xfId="0" applyNumberFormat="1" applyFont="1" applyBorder="1" applyAlignment="1">
      <alignment horizontal="center"/>
    </xf>
    <xf numFmtId="0" fontId="15" fillId="0" borderId="0" xfId="0" applyFont="1" applyFill="1" applyBorder="1" applyAlignment="1">
      <alignment/>
    </xf>
    <xf numFmtId="164" fontId="15" fillId="0" borderId="0" xfId="0" applyNumberFormat="1" applyFont="1" applyBorder="1" applyAlignment="1">
      <alignment/>
    </xf>
    <xf numFmtId="1" fontId="15" fillId="0" borderId="13" xfId="0" applyNumberFormat="1" applyFont="1" applyBorder="1" applyAlignment="1">
      <alignment horizontal="center"/>
    </xf>
    <xf numFmtId="0" fontId="15" fillId="0" borderId="1" xfId="0" applyFont="1" applyBorder="1" applyAlignment="1">
      <alignment/>
    </xf>
    <xf numFmtId="164" fontId="15" fillId="0" borderId="1" xfId="0" applyNumberFormat="1" applyFont="1" applyBorder="1" applyAlignment="1">
      <alignment/>
    </xf>
    <xf numFmtId="1" fontId="15" fillId="0" borderId="14" xfId="0" applyNumberFormat="1" applyFont="1" applyBorder="1" applyAlignment="1">
      <alignment horizontal="center"/>
    </xf>
    <xf numFmtId="16" fontId="1" fillId="2" borderId="17" xfId="0" applyNumberFormat="1" applyFont="1" applyFill="1" applyBorder="1" applyAlignment="1">
      <alignment horizontal="right"/>
    </xf>
    <xf numFmtId="0" fontId="15" fillId="0" borderId="7" xfId="0" applyFont="1" applyBorder="1" applyAlignment="1">
      <alignment horizontal="left"/>
    </xf>
    <xf numFmtId="0" fontId="15" fillId="0" borderId="7" xfId="0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170" fontId="3" fillId="4" borderId="18" xfId="0" applyNumberFormat="1" applyFont="1" applyFill="1" applyBorder="1" applyAlignment="1">
      <alignment horizontal="right"/>
    </xf>
    <xf numFmtId="18" fontId="3" fillId="4" borderId="19" xfId="0" applyNumberFormat="1" applyFont="1" applyFill="1" applyBorder="1" applyAlignment="1">
      <alignment horizontal="right"/>
    </xf>
    <xf numFmtId="170" fontId="3" fillId="4" borderId="20" xfId="0" applyNumberFormat="1" applyFont="1" applyFill="1" applyBorder="1" applyAlignment="1">
      <alignment/>
    </xf>
    <xf numFmtId="170" fontId="3" fillId="4" borderId="19" xfId="0" applyNumberFormat="1" applyFont="1" applyFill="1" applyBorder="1" applyAlignment="1">
      <alignment horizontal="right"/>
    </xf>
    <xf numFmtId="170" fontId="3" fillId="4" borderId="20" xfId="0" applyNumberFormat="1" applyFont="1" applyFill="1" applyBorder="1" applyAlignment="1">
      <alignment horizontal="right"/>
    </xf>
    <xf numFmtId="170" fontId="3" fillId="4" borderId="21" xfId="0" applyNumberFormat="1" applyFont="1" applyFill="1" applyBorder="1" applyAlignment="1">
      <alignment horizontal="right"/>
    </xf>
    <xf numFmtId="170" fontId="14" fillId="4" borderId="18" xfId="0" applyNumberFormat="1" applyFont="1" applyFill="1" applyBorder="1" applyAlignment="1">
      <alignment horizontal="right"/>
    </xf>
    <xf numFmtId="170" fontId="14" fillId="4" borderId="19" xfId="0" applyNumberFormat="1" applyFont="1" applyFill="1" applyBorder="1" applyAlignment="1">
      <alignment horizontal="right"/>
    </xf>
    <xf numFmtId="170" fontId="14" fillId="4" borderId="20" xfId="0" applyNumberFormat="1" applyFont="1" applyFill="1" applyBorder="1" applyAlignment="1">
      <alignment horizontal="right"/>
    </xf>
    <xf numFmtId="170" fontId="13" fillId="4" borderId="19" xfId="0" applyNumberFormat="1" applyFont="1" applyFill="1" applyBorder="1" applyAlignment="1">
      <alignment horizontal="right"/>
    </xf>
    <xf numFmtId="170" fontId="13" fillId="4" borderId="21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26</xdr:row>
      <xdr:rowOff>9525</xdr:rowOff>
    </xdr:from>
    <xdr:to>
      <xdr:col>1</xdr:col>
      <xdr:colOff>1000125</xdr:colOff>
      <xdr:row>33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295400" y="5419725"/>
          <a:ext cx="352425" cy="1228725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400050</xdr:colOff>
      <xdr:row>33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695325" y="5410200"/>
          <a:ext cx="352425" cy="120015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D7" sqref="D7"/>
    </sheetView>
  </sheetViews>
  <sheetFormatPr defaultColWidth="9.140625" defaultRowHeight="12.75"/>
  <cols>
    <col min="1" max="1" width="14.00390625" style="6" customWidth="1"/>
    <col min="2" max="2" width="11.421875" style="58" customWidth="1"/>
    <col min="3" max="3" width="13.8515625" style="51" bestFit="1" customWidth="1"/>
    <col min="4" max="4" width="9.7109375" style="53" customWidth="1"/>
    <col min="5" max="5" width="9.140625" style="58" customWidth="1"/>
    <col min="6" max="16384" width="9.140625" style="6" customWidth="1"/>
  </cols>
  <sheetData>
    <row r="1" spans="1:5" ht="24" thickBot="1">
      <c r="A1" s="49" t="s">
        <v>21</v>
      </c>
      <c r="B1" s="57"/>
      <c r="C1" s="50" t="s">
        <v>22</v>
      </c>
      <c r="D1" s="52" t="s">
        <v>20</v>
      </c>
      <c r="E1" s="57" t="s">
        <v>9</v>
      </c>
    </row>
    <row r="2" ht="24" thickTop="1"/>
    <row r="13" spans="2:4" ht="23.25">
      <c r="B13" s="58" t="s">
        <v>0</v>
      </c>
      <c r="C13" s="51">
        <f>'Player Stats'!E23</f>
        <v>0.5347432024169184</v>
      </c>
      <c r="D13" s="53">
        <f>'Player Stats'!F23</f>
        <v>147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G19" sqref="G19"/>
    </sheetView>
  </sheetViews>
  <sheetFormatPr defaultColWidth="9.140625" defaultRowHeight="12.75"/>
  <cols>
    <col min="1" max="1" width="15.57421875" style="13" customWidth="1"/>
    <col min="2" max="2" width="3.00390625" style="13" bestFit="1" customWidth="1"/>
    <col min="3" max="3" width="4.28125" style="13" bestFit="1" customWidth="1"/>
    <col min="4" max="4" width="4.7109375" style="13" customWidth="1"/>
    <col min="5" max="5" width="7.00390625" style="13" bestFit="1" customWidth="1"/>
    <col min="6" max="6" width="9.421875" style="15" customWidth="1"/>
    <col min="7" max="7" width="7.421875" style="13" customWidth="1"/>
    <col min="8" max="8" width="3.57421875" style="13" bestFit="1" customWidth="1"/>
    <col min="9" max="9" width="4.8515625" style="13" bestFit="1" customWidth="1"/>
    <col min="10" max="13" width="4.8515625" style="13" customWidth="1"/>
    <col min="14" max="14" width="6.140625" style="14" customWidth="1"/>
    <col min="15" max="15" width="10.28125" style="14" customWidth="1"/>
    <col min="16" max="16" width="10.8515625" style="17" customWidth="1"/>
    <col min="17" max="16384" width="9.140625" style="13" customWidth="1"/>
  </cols>
  <sheetData>
    <row r="1" spans="1:16" s="16" customFormat="1" ht="13.5" thickBot="1">
      <c r="A1" s="21" t="s">
        <v>33</v>
      </c>
      <c r="B1" s="22" t="s">
        <v>11</v>
      </c>
      <c r="C1" s="22" t="s">
        <v>6</v>
      </c>
      <c r="D1" s="22" t="s">
        <v>7</v>
      </c>
      <c r="E1" s="23" t="s">
        <v>8</v>
      </c>
      <c r="F1" s="41" t="s">
        <v>20</v>
      </c>
      <c r="G1" s="22" t="s">
        <v>9</v>
      </c>
      <c r="H1" s="30" t="s">
        <v>10</v>
      </c>
      <c r="I1" s="30" t="s">
        <v>12</v>
      </c>
      <c r="J1" s="46" t="s">
        <v>19</v>
      </c>
      <c r="K1" s="30" t="s">
        <v>16</v>
      </c>
      <c r="L1" s="30" t="s">
        <v>17</v>
      </c>
      <c r="M1" s="30" t="s">
        <v>18</v>
      </c>
      <c r="N1" s="22" t="s">
        <v>13</v>
      </c>
      <c r="O1" s="22" t="s">
        <v>15</v>
      </c>
      <c r="P1" s="23" t="s">
        <v>14</v>
      </c>
    </row>
    <row r="2" spans="1:16" ht="13.5" thickTop="1">
      <c r="A2" s="33" t="s">
        <v>46</v>
      </c>
      <c r="B2" s="27">
        <v>1</v>
      </c>
      <c r="C2" s="27">
        <f>2</f>
        <v>2</v>
      </c>
      <c r="D2" s="27">
        <f>2</f>
        <v>2</v>
      </c>
      <c r="E2" s="26">
        <f aca="true" t="shared" si="0" ref="E2:E12">C2/D2</f>
        <v>1</v>
      </c>
      <c r="F2" s="43">
        <f>3</f>
        <v>3</v>
      </c>
      <c r="G2" s="27">
        <f>0</f>
        <v>0</v>
      </c>
      <c r="H2" s="34">
        <f>0</f>
        <v>0</v>
      </c>
      <c r="I2" s="34">
        <f>0</f>
        <v>0</v>
      </c>
      <c r="J2" s="47">
        <f>2</f>
        <v>2</v>
      </c>
      <c r="K2" s="34">
        <f>0</f>
        <v>0</v>
      </c>
      <c r="L2" s="34">
        <f>0</f>
        <v>0</v>
      </c>
      <c r="M2" s="34">
        <f>0</f>
        <v>0</v>
      </c>
      <c r="N2" s="25">
        <f aca="true" t="shared" si="1" ref="N2:N12">J2+(K2*2)+(L2*3)+(M2*4)</f>
        <v>2</v>
      </c>
      <c r="O2" s="32">
        <f aca="true" t="shared" si="2" ref="O2:O12">N2/D2</f>
        <v>1</v>
      </c>
      <c r="P2" s="32">
        <f aca="true" t="shared" si="3" ref="P2:P12">(C2+H2)/(D2+H2+I2)</f>
        <v>1</v>
      </c>
    </row>
    <row r="3" spans="1:16" ht="12.75">
      <c r="A3" s="24" t="s">
        <v>66</v>
      </c>
      <c r="B3" s="25">
        <v>1</v>
      </c>
      <c r="C3" s="25">
        <f>3</f>
        <v>3</v>
      </c>
      <c r="D3" s="25">
        <f>3</f>
        <v>3</v>
      </c>
      <c r="E3" s="26">
        <f t="shared" si="0"/>
        <v>1</v>
      </c>
      <c r="F3" s="42">
        <f>1</f>
        <v>1</v>
      </c>
      <c r="G3" s="25">
        <f>2</f>
        <v>2</v>
      </c>
      <c r="H3" s="31">
        <f>0</f>
        <v>0</v>
      </c>
      <c r="I3" s="31">
        <f>0</f>
        <v>0</v>
      </c>
      <c r="J3" s="47">
        <f>0</f>
        <v>0</v>
      </c>
      <c r="K3" s="31">
        <f>2</f>
        <v>2</v>
      </c>
      <c r="L3" s="31">
        <f>1</f>
        <v>1</v>
      </c>
      <c r="M3" s="31">
        <f>0</f>
        <v>0</v>
      </c>
      <c r="N3" s="25">
        <f t="shared" si="1"/>
        <v>7</v>
      </c>
      <c r="O3" s="32">
        <f t="shared" si="2"/>
        <v>2.3333333333333335</v>
      </c>
      <c r="P3" s="32">
        <f t="shared" si="3"/>
        <v>1</v>
      </c>
    </row>
    <row r="4" spans="1:16" ht="12.75">
      <c r="A4" s="33" t="s">
        <v>49</v>
      </c>
      <c r="B4" s="27">
        <v>8</v>
      </c>
      <c r="C4" s="27">
        <f>5+2+3+3+1+1+3+4</f>
        <v>22</v>
      </c>
      <c r="D4" s="27">
        <f>5+3+3+3+3+1+3+4</f>
        <v>25</v>
      </c>
      <c r="E4" s="26">
        <f t="shared" si="0"/>
        <v>0.88</v>
      </c>
      <c r="F4" s="43">
        <f>1+0+6+2+4+2+7</f>
        <v>22</v>
      </c>
      <c r="G4" s="27">
        <f>1+1+1+1+1+1+3</f>
        <v>9</v>
      </c>
      <c r="H4" s="34">
        <f>0+1</f>
        <v>1</v>
      </c>
      <c r="I4" s="34">
        <f>0+1+2</f>
        <v>3</v>
      </c>
      <c r="J4" s="47">
        <f>3+2+1+3+1+3</f>
        <v>13</v>
      </c>
      <c r="K4" s="34">
        <f>2+2+1+2+1</f>
        <v>8</v>
      </c>
      <c r="L4" s="34">
        <f>0</f>
        <v>0</v>
      </c>
      <c r="M4" s="34">
        <f>0+1</f>
        <v>1</v>
      </c>
      <c r="N4" s="25">
        <f>J4+(K4*2)+(L4*3)+(M4*4)</f>
        <v>33</v>
      </c>
      <c r="O4" s="32">
        <f>N4/D4</f>
        <v>1.32</v>
      </c>
      <c r="P4" s="32">
        <f>(C4+H4)/(D4+H4+I4)</f>
        <v>0.7931034482758621</v>
      </c>
    </row>
    <row r="5" spans="1:16" ht="12.75">
      <c r="A5" s="24" t="s">
        <v>64</v>
      </c>
      <c r="B5" s="25">
        <v>2</v>
      </c>
      <c r="C5" s="25">
        <f>3+4</f>
        <v>7</v>
      </c>
      <c r="D5" s="25">
        <f>3+5</f>
        <v>8</v>
      </c>
      <c r="E5" s="120">
        <f t="shared" si="0"/>
        <v>0.875</v>
      </c>
      <c r="F5" s="43">
        <f>0+6</f>
        <v>6</v>
      </c>
      <c r="G5" s="25">
        <f>2+3</f>
        <v>5</v>
      </c>
      <c r="H5" s="31">
        <f>0</f>
        <v>0</v>
      </c>
      <c r="I5" s="31">
        <f>0</f>
        <v>0</v>
      </c>
      <c r="J5" s="47">
        <f>2</f>
        <v>2</v>
      </c>
      <c r="K5" s="31">
        <f>1+2</f>
        <v>3</v>
      </c>
      <c r="L5" s="31">
        <f>0+1</f>
        <v>1</v>
      </c>
      <c r="M5" s="31">
        <f>0+1</f>
        <v>1</v>
      </c>
      <c r="N5" s="25">
        <f t="shared" si="1"/>
        <v>15</v>
      </c>
      <c r="O5" s="32">
        <f t="shared" si="2"/>
        <v>1.875</v>
      </c>
      <c r="P5" s="32">
        <f t="shared" si="3"/>
        <v>0.875</v>
      </c>
    </row>
    <row r="6" spans="1:16" ht="12.75">
      <c r="A6" s="24" t="s">
        <v>47</v>
      </c>
      <c r="B6" s="25">
        <v>9</v>
      </c>
      <c r="C6" s="25">
        <f>3+4+2+3+3+2+4+2+3</f>
        <v>26</v>
      </c>
      <c r="D6" s="25">
        <f>5+4+4+3+4+4+5+2+4</f>
        <v>35</v>
      </c>
      <c r="E6" s="26">
        <f t="shared" si="0"/>
        <v>0.7428571428571429</v>
      </c>
      <c r="F6" s="42">
        <f>3+0+2+1+3+8+2+1</f>
        <v>20</v>
      </c>
      <c r="G6" s="25">
        <f>5+2+2+2+1+1+3+1+4</f>
        <v>21</v>
      </c>
      <c r="H6" s="31">
        <f>0</f>
        <v>0</v>
      </c>
      <c r="I6" s="31">
        <f>0+1+1</f>
        <v>2</v>
      </c>
      <c r="J6" s="47">
        <f>0+3+1+2+1+2</f>
        <v>9</v>
      </c>
      <c r="K6" s="31">
        <f>2+1+2+2+1+2+1</f>
        <v>11</v>
      </c>
      <c r="L6" s="31">
        <f>1+1+2</f>
        <v>4</v>
      </c>
      <c r="M6" s="31">
        <f>0+1+1</f>
        <v>2</v>
      </c>
      <c r="N6" s="25">
        <f t="shared" si="1"/>
        <v>51</v>
      </c>
      <c r="O6" s="32">
        <f t="shared" si="2"/>
        <v>1.457142857142857</v>
      </c>
      <c r="P6" s="32">
        <f t="shared" si="3"/>
        <v>0.7027027027027027</v>
      </c>
    </row>
    <row r="7" spans="1:16" ht="12.75">
      <c r="A7" s="24" t="s">
        <v>69</v>
      </c>
      <c r="B7" s="25">
        <v>3</v>
      </c>
      <c r="C7" s="25">
        <f>3+0+4</f>
        <v>7</v>
      </c>
      <c r="D7" s="25">
        <f>4+1+5</f>
        <v>10</v>
      </c>
      <c r="E7" s="26">
        <f t="shared" si="0"/>
        <v>0.7</v>
      </c>
      <c r="F7" s="42">
        <f>2+4</f>
        <v>6</v>
      </c>
      <c r="G7" s="25">
        <f>3+2+2</f>
        <v>7</v>
      </c>
      <c r="H7" s="31">
        <f>0+2</f>
        <v>2</v>
      </c>
      <c r="I7" s="31">
        <f>0</f>
        <v>0</v>
      </c>
      <c r="J7" s="47">
        <f>1+1</f>
        <v>2</v>
      </c>
      <c r="K7" s="31">
        <f>2+1</f>
        <v>3</v>
      </c>
      <c r="L7" s="31">
        <f>0+1</f>
        <v>1</v>
      </c>
      <c r="M7" s="31">
        <f>0+1</f>
        <v>1</v>
      </c>
      <c r="N7" s="25">
        <f t="shared" si="1"/>
        <v>15</v>
      </c>
      <c r="O7" s="32">
        <f t="shared" si="2"/>
        <v>1.5</v>
      </c>
      <c r="P7" s="32">
        <f t="shared" si="3"/>
        <v>0.75</v>
      </c>
    </row>
    <row r="8" spans="1:16" ht="12.75">
      <c r="A8" s="33" t="s">
        <v>50</v>
      </c>
      <c r="B8" s="27">
        <v>5</v>
      </c>
      <c r="C8" s="27">
        <f>3+2+3+1+1</f>
        <v>10</v>
      </c>
      <c r="D8" s="27">
        <f>4+3+4+3+1</f>
        <v>15</v>
      </c>
      <c r="E8" s="26">
        <f t="shared" si="0"/>
        <v>0.6666666666666666</v>
      </c>
      <c r="F8" s="42">
        <f>2+1+3+2</f>
        <v>8</v>
      </c>
      <c r="G8" s="27">
        <f>4+0+3+1</f>
        <v>8</v>
      </c>
      <c r="H8" s="34">
        <f>0</f>
        <v>0</v>
      </c>
      <c r="I8" s="34">
        <f>0</f>
        <v>0</v>
      </c>
      <c r="J8" s="47">
        <f>2+2+1</f>
        <v>5</v>
      </c>
      <c r="K8" s="34">
        <f>1+2+1+1</f>
        <v>5</v>
      </c>
      <c r="L8" s="34">
        <f>0</f>
        <v>0</v>
      </c>
      <c r="M8" s="34">
        <f>0</f>
        <v>0</v>
      </c>
      <c r="N8" s="25">
        <f t="shared" si="1"/>
        <v>15</v>
      </c>
      <c r="O8" s="32">
        <f t="shared" si="2"/>
        <v>1</v>
      </c>
      <c r="P8" s="32">
        <f t="shared" si="3"/>
        <v>0.6666666666666666</v>
      </c>
    </row>
    <row r="9" spans="1:16" ht="12.75">
      <c r="A9" s="33" t="s">
        <v>45</v>
      </c>
      <c r="B9" s="27">
        <v>9</v>
      </c>
      <c r="C9" s="27">
        <f>2+3+2+3+2+3+2+1+4</f>
        <v>22</v>
      </c>
      <c r="D9" s="27">
        <f>3+4+5+4+3+3+5+2+4</f>
        <v>33</v>
      </c>
      <c r="E9" s="26">
        <f>C9/D9</f>
        <v>0.6666666666666666</v>
      </c>
      <c r="F9" s="43">
        <f>3+3+3+0+2+1+4+1+4</f>
        <v>21</v>
      </c>
      <c r="G9" s="27">
        <f>3+2+2+3+1+3+2+3</f>
        <v>19</v>
      </c>
      <c r="H9" s="34">
        <f>0+1</f>
        <v>1</v>
      </c>
      <c r="I9" s="34">
        <f>0+1+1+1</f>
        <v>3</v>
      </c>
      <c r="J9" s="47">
        <f>0+2+2+2+2+2+1</f>
        <v>11</v>
      </c>
      <c r="K9" s="34">
        <f>1+1+1+4</f>
        <v>7</v>
      </c>
      <c r="L9" s="34">
        <f>0+1+1</f>
        <v>2</v>
      </c>
      <c r="M9" s="34">
        <f>1+1</f>
        <v>2</v>
      </c>
      <c r="N9" s="25">
        <f t="shared" si="1"/>
        <v>39</v>
      </c>
      <c r="O9" s="32">
        <f t="shared" si="2"/>
        <v>1.1818181818181819</v>
      </c>
      <c r="P9" s="32">
        <f t="shared" si="3"/>
        <v>0.6216216216216216</v>
      </c>
    </row>
    <row r="10" spans="1:16" ht="12.75">
      <c r="A10" s="24" t="s">
        <v>48</v>
      </c>
      <c r="B10" s="25">
        <v>4</v>
      </c>
      <c r="C10" s="25">
        <f>3+3+3+0</f>
        <v>9</v>
      </c>
      <c r="D10" s="25">
        <f>5+3+4+3</f>
        <v>15</v>
      </c>
      <c r="E10" s="120">
        <f t="shared" si="0"/>
        <v>0.6</v>
      </c>
      <c r="F10" s="43">
        <f>6+1+2+0</f>
        <v>9</v>
      </c>
      <c r="G10" s="25">
        <f>3+1+3+0</f>
        <v>7</v>
      </c>
      <c r="H10" s="31">
        <f>0</f>
        <v>0</v>
      </c>
      <c r="I10" s="31">
        <f>0+1</f>
        <v>1</v>
      </c>
      <c r="J10" s="47">
        <f>0+3</f>
        <v>3</v>
      </c>
      <c r="K10" s="31">
        <f>1+2</f>
        <v>3</v>
      </c>
      <c r="L10" s="31">
        <f>0+1</f>
        <v>1</v>
      </c>
      <c r="M10" s="31">
        <f>2</f>
        <v>2</v>
      </c>
      <c r="N10" s="25">
        <f t="shared" si="1"/>
        <v>20</v>
      </c>
      <c r="O10" s="32">
        <f t="shared" si="2"/>
        <v>1.3333333333333333</v>
      </c>
      <c r="P10" s="32">
        <f t="shared" si="3"/>
        <v>0.5625</v>
      </c>
    </row>
    <row r="11" spans="1:16" ht="12.75">
      <c r="A11" s="24" t="s">
        <v>65</v>
      </c>
      <c r="B11" s="25">
        <v>4</v>
      </c>
      <c r="C11" s="25">
        <f>1+1+3+1</f>
        <v>6</v>
      </c>
      <c r="D11" s="25">
        <f>3+3+4+3</f>
        <v>13</v>
      </c>
      <c r="E11" s="26">
        <f t="shared" si="0"/>
        <v>0.46153846153846156</v>
      </c>
      <c r="F11" s="42">
        <f>1+2</f>
        <v>3</v>
      </c>
      <c r="G11" s="25">
        <f>0+1+3+2</f>
        <v>6</v>
      </c>
      <c r="H11" s="31">
        <f>0</f>
        <v>0</v>
      </c>
      <c r="I11" s="31">
        <f>0</f>
        <v>0</v>
      </c>
      <c r="J11" s="47">
        <f>1+1+3+1</f>
        <v>6</v>
      </c>
      <c r="K11" s="31">
        <f>0</f>
        <v>0</v>
      </c>
      <c r="L11" s="31">
        <f>0</f>
        <v>0</v>
      </c>
      <c r="M11" s="31">
        <f>0</f>
        <v>0</v>
      </c>
      <c r="N11" s="25">
        <f t="shared" si="1"/>
        <v>6</v>
      </c>
      <c r="O11" s="32">
        <f t="shared" si="2"/>
        <v>0.46153846153846156</v>
      </c>
      <c r="P11" s="32">
        <f t="shared" si="3"/>
        <v>0.46153846153846156</v>
      </c>
    </row>
    <row r="12" spans="1:16" ht="12.75">
      <c r="A12" s="24" t="s">
        <v>68</v>
      </c>
      <c r="B12" s="25">
        <v>1</v>
      </c>
      <c r="C12" s="25">
        <f>2</f>
        <v>2</v>
      </c>
      <c r="D12" s="25">
        <f>5</f>
        <v>5</v>
      </c>
      <c r="E12" s="26">
        <f t="shared" si="0"/>
        <v>0.4</v>
      </c>
      <c r="F12" s="42">
        <f>1</f>
        <v>1</v>
      </c>
      <c r="G12" s="25">
        <f>2</f>
        <v>2</v>
      </c>
      <c r="H12" s="31">
        <f>0</f>
        <v>0</v>
      </c>
      <c r="I12" s="31">
        <f>0</f>
        <v>0</v>
      </c>
      <c r="J12" s="47">
        <f>1</f>
        <v>1</v>
      </c>
      <c r="K12" s="31">
        <f>0</f>
        <v>0</v>
      </c>
      <c r="L12" s="31">
        <f>1</f>
        <v>1</v>
      </c>
      <c r="M12" s="31">
        <f>0</f>
        <v>0</v>
      </c>
      <c r="N12" s="25">
        <f t="shared" si="1"/>
        <v>4</v>
      </c>
      <c r="O12" s="32">
        <f t="shared" si="2"/>
        <v>0.8</v>
      </c>
      <c r="P12" s="32">
        <f t="shared" si="3"/>
        <v>0.4</v>
      </c>
    </row>
    <row r="13" spans="1:16" ht="13.5" thickBot="1">
      <c r="A13" s="21" t="s">
        <v>34</v>
      </c>
      <c r="B13" s="22" t="s">
        <v>11</v>
      </c>
      <c r="C13" s="22" t="s">
        <v>6</v>
      </c>
      <c r="D13" s="22" t="s">
        <v>7</v>
      </c>
      <c r="E13" s="23" t="s">
        <v>8</v>
      </c>
      <c r="F13" s="41" t="s">
        <v>20</v>
      </c>
      <c r="G13" s="22" t="s">
        <v>9</v>
      </c>
      <c r="H13" s="30" t="s">
        <v>10</v>
      </c>
      <c r="I13" s="30" t="s">
        <v>12</v>
      </c>
      <c r="J13" s="46" t="s">
        <v>19</v>
      </c>
      <c r="K13" s="30" t="s">
        <v>16</v>
      </c>
      <c r="L13" s="30" t="s">
        <v>17</v>
      </c>
      <c r="M13" s="30" t="s">
        <v>18</v>
      </c>
      <c r="N13" s="22" t="s">
        <v>13</v>
      </c>
      <c r="O13" s="22" t="s">
        <v>15</v>
      </c>
      <c r="P13" s="23" t="s">
        <v>14</v>
      </c>
    </row>
    <row r="14" spans="1:16" ht="13.5" thickTop="1">
      <c r="A14" s="33" t="s">
        <v>70</v>
      </c>
      <c r="B14" s="27">
        <v>1</v>
      </c>
      <c r="C14" s="27">
        <f>4</f>
        <v>4</v>
      </c>
      <c r="D14" s="27">
        <f>4</f>
        <v>4</v>
      </c>
      <c r="E14" s="26">
        <f aca="true" t="shared" si="4" ref="E14:E22">C14/D14</f>
        <v>1</v>
      </c>
      <c r="F14" s="42">
        <f>1</f>
        <v>1</v>
      </c>
      <c r="G14" s="25">
        <f>3</f>
        <v>3</v>
      </c>
      <c r="H14" s="31">
        <f>0</f>
        <v>0</v>
      </c>
      <c r="I14" s="31">
        <f>0</f>
        <v>0</v>
      </c>
      <c r="J14" s="47">
        <f>4</f>
        <v>4</v>
      </c>
      <c r="K14" s="31">
        <f>0</f>
        <v>0</v>
      </c>
      <c r="L14" s="31">
        <f>0</f>
        <v>0</v>
      </c>
      <c r="M14" s="31">
        <f>0</f>
        <v>0</v>
      </c>
      <c r="N14" s="25">
        <f aca="true" t="shared" si="5" ref="N14:N22">J14+(K14*2)+(L14*3)+(M14*4)</f>
        <v>4</v>
      </c>
      <c r="O14" s="32">
        <f aca="true" t="shared" si="6" ref="O14:O22">N14/D14</f>
        <v>1</v>
      </c>
      <c r="P14" s="32">
        <f aca="true" t="shared" si="7" ref="P14:P22">(C14+H14)/(D14+H14+I14)</f>
        <v>1</v>
      </c>
    </row>
    <row r="15" spans="1:16" ht="12.75">
      <c r="A15" s="33" t="s">
        <v>52</v>
      </c>
      <c r="B15" s="27">
        <v>9</v>
      </c>
      <c r="C15" s="27">
        <f>4+1+3+1+2+2+4+1+3</f>
        <v>21</v>
      </c>
      <c r="D15" s="27">
        <f>5+4+4+3+4+3+5+2+5</f>
        <v>35</v>
      </c>
      <c r="E15" s="26">
        <f t="shared" si="4"/>
        <v>0.6</v>
      </c>
      <c r="F15" s="42">
        <f>5+1+1+3+1+2+1+2</f>
        <v>16</v>
      </c>
      <c r="G15" s="25">
        <f>2+1+2+1+2+1+2+2</f>
        <v>13</v>
      </c>
      <c r="H15" s="31">
        <f>0+1</f>
        <v>1</v>
      </c>
      <c r="I15" s="31">
        <f>0</f>
        <v>0</v>
      </c>
      <c r="J15" s="47">
        <f>4+1+3+1+2+1+4+1+3</f>
        <v>20</v>
      </c>
      <c r="K15" s="31">
        <f>0+1</f>
        <v>1</v>
      </c>
      <c r="L15" s="31">
        <f>0</f>
        <v>0</v>
      </c>
      <c r="M15" s="31">
        <f>0</f>
        <v>0</v>
      </c>
      <c r="N15" s="25">
        <f t="shared" si="5"/>
        <v>22</v>
      </c>
      <c r="O15" s="32">
        <f t="shared" si="6"/>
        <v>0.6285714285714286</v>
      </c>
      <c r="P15" s="32">
        <f t="shared" si="7"/>
        <v>0.6111111111111112</v>
      </c>
    </row>
    <row r="16" spans="1:16" ht="12.75">
      <c r="A16" s="33" t="s">
        <v>62</v>
      </c>
      <c r="B16" s="27">
        <v>2</v>
      </c>
      <c r="C16" s="27">
        <f>2+1</f>
        <v>3</v>
      </c>
      <c r="D16" s="27">
        <f>4+2</f>
        <v>6</v>
      </c>
      <c r="E16" s="26">
        <f t="shared" si="4"/>
        <v>0.5</v>
      </c>
      <c r="F16" s="42">
        <f>0</f>
        <v>0</v>
      </c>
      <c r="G16" s="25">
        <f>3+2</f>
        <v>5</v>
      </c>
      <c r="H16" s="31">
        <f>0+1</f>
        <v>1</v>
      </c>
      <c r="I16" s="31">
        <f>0</f>
        <v>0</v>
      </c>
      <c r="J16" s="47">
        <f>2+1</f>
        <v>3</v>
      </c>
      <c r="K16" s="31">
        <f>0</f>
        <v>0</v>
      </c>
      <c r="L16" s="31">
        <f>0</f>
        <v>0</v>
      </c>
      <c r="M16" s="31">
        <f>0</f>
        <v>0</v>
      </c>
      <c r="N16" s="25">
        <f t="shared" si="5"/>
        <v>3</v>
      </c>
      <c r="O16" s="32">
        <f t="shared" si="6"/>
        <v>0.5</v>
      </c>
      <c r="P16" s="32">
        <f t="shared" si="7"/>
        <v>0.5714285714285714</v>
      </c>
    </row>
    <row r="17" spans="1:16" ht="12.75">
      <c r="A17" s="24" t="s">
        <v>53</v>
      </c>
      <c r="B17" s="25">
        <v>1</v>
      </c>
      <c r="C17" s="25">
        <f>2</f>
        <v>2</v>
      </c>
      <c r="D17" s="25">
        <f>4</f>
        <v>4</v>
      </c>
      <c r="E17" s="26">
        <f t="shared" si="4"/>
        <v>0.5</v>
      </c>
      <c r="F17" s="42">
        <f>1</f>
        <v>1</v>
      </c>
      <c r="G17" s="25">
        <f>2</f>
        <v>2</v>
      </c>
      <c r="H17" s="31">
        <f>0</f>
        <v>0</v>
      </c>
      <c r="I17" s="31">
        <f>0</f>
        <v>0</v>
      </c>
      <c r="J17" s="47">
        <f>2</f>
        <v>2</v>
      </c>
      <c r="K17" s="31">
        <f>0</f>
        <v>0</v>
      </c>
      <c r="L17" s="31">
        <f>0</f>
        <v>0</v>
      </c>
      <c r="M17" s="31">
        <f>0</f>
        <v>0</v>
      </c>
      <c r="N17" s="25">
        <f t="shared" si="5"/>
        <v>2</v>
      </c>
      <c r="O17" s="32">
        <f t="shared" si="6"/>
        <v>0.5</v>
      </c>
      <c r="P17" s="32">
        <f t="shared" si="7"/>
        <v>0.5</v>
      </c>
    </row>
    <row r="18" spans="1:16" ht="12.75">
      <c r="A18" s="24" t="s">
        <v>55</v>
      </c>
      <c r="B18" s="25">
        <v>8</v>
      </c>
      <c r="C18" s="25">
        <f>2+1+1+2+1+2+1+2</f>
        <v>12</v>
      </c>
      <c r="D18" s="25">
        <f>4+4+5+3+4+4+4+5</f>
        <v>33</v>
      </c>
      <c r="E18" s="26">
        <f t="shared" si="4"/>
        <v>0.36363636363636365</v>
      </c>
      <c r="F18" s="42">
        <f>3+0+4+2+1+3+3</f>
        <v>16</v>
      </c>
      <c r="G18" s="25">
        <f>2+0+2+1+1+1+2</f>
        <v>9</v>
      </c>
      <c r="H18" s="31">
        <f>0</f>
        <v>0</v>
      </c>
      <c r="I18" s="31">
        <f>0</f>
        <v>0</v>
      </c>
      <c r="J18" s="47">
        <f>2+1+1+2+1+1+1+1</f>
        <v>10</v>
      </c>
      <c r="K18" s="31">
        <f>0+1+1</f>
        <v>2</v>
      </c>
      <c r="L18" s="31">
        <f>0</f>
        <v>0</v>
      </c>
      <c r="M18" s="31">
        <f>0</f>
        <v>0</v>
      </c>
      <c r="N18" s="25">
        <f t="shared" si="5"/>
        <v>14</v>
      </c>
      <c r="O18" s="32">
        <f t="shared" si="6"/>
        <v>0.42424242424242425</v>
      </c>
      <c r="P18" s="32">
        <f t="shared" si="7"/>
        <v>0.36363636363636365</v>
      </c>
    </row>
    <row r="19" spans="1:16" ht="12.75">
      <c r="A19" s="24" t="s">
        <v>61</v>
      </c>
      <c r="B19" s="25">
        <v>6</v>
      </c>
      <c r="C19" s="25">
        <f>0+0+1+1+3+2</f>
        <v>7</v>
      </c>
      <c r="D19" s="25">
        <f>3+4+3+3+4+3</f>
        <v>20</v>
      </c>
      <c r="E19" s="26">
        <f t="shared" si="4"/>
        <v>0.35</v>
      </c>
      <c r="F19" s="42">
        <f>0+1+2+1</f>
        <v>4</v>
      </c>
      <c r="G19" s="25">
        <f>0+1+1+1+3+2</f>
        <v>8</v>
      </c>
      <c r="H19" s="31">
        <f>0</f>
        <v>0</v>
      </c>
      <c r="I19" s="31">
        <f>0</f>
        <v>0</v>
      </c>
      <c r="J19" s="47">
        <f>0+1+1+3+2</f>
        <v>7</v>
      </c>
      <c r="K19" s="31">
        <f>0</f>
        <v>0</v>
      </c>
      <c r="L19" s="31">
        <f>0</f>
        <v>0</v>
      </c>
      <c r="M19" s="31">
        <f>0</f>
        <v>0</v>
      </c>
      <c r="N19" s="25">
        <f t="shared" si="5"/>
        <v>7</v>
      </c>
      <c r="O19" s="32">
        <f t="shared" si="6"/>
        <v>0.35</v>
      </c>
      <c r="P19" s="32">
        <f t="shared" si="7"/>
        <v>0.35</v>
      </c>
    </row>
    <row r="20" spans="1:16" ht="12.75">
      <c r="A20" s="24" t="s">
        <v>51</v>
      </c>
      <c r="B20" s="25">
        <v>9</v>
      </c>
      <c r="C20" s="25">
        <f>2+1+1+1+1+0+1+0+1</f>
        <v>8</v>
      </c>
      <c r="D20" s="25">
        <f>5+3+3+3+3+3+5+2+5</f>
        <v>32</v>
      </c>
      <c r="E20" s="26">
        <f t="shared" si="4"/>
        <v>0.25</v>
      </c>
      <c r="F20" s="42">
        <f>0+2+1+2+1+1</f>
        <v>7</v>
      </c>
      <c r="G20" s="25">
        <f>3+1+2+1+2+2+2+2</f>
        <v>15</v>
      </c>
      <c r="H20" s="31">
        <f>0+1+1</f>
        <v>2</v>
      </c>
      <c r="I20" s="31">
        <f>0</f>
        <v>0</v>
      </c>
      <c r="J20" s="47">
        <f>2+1+1+1+1+1+1</f>
        <v>8</v>
      </c>
      <c r="K20" s="31">
        <f>0</f>
        <v>0</v>
      </c>
      <c r="L20" s="31">
        <f>0</f>
        <v>0</v>
      </c>
      <c r="M20" s="31">
        <f>0</f>
        <v>0</v>
      </c>
      <c r="N20" s="25">
        <f t="shared" si="5"/>
        <v>8</v>
      </c>
      <c r="O20" s="32">
        <f t="shared" si="6"/>
        <v>0.25</v>
      </c>
      <c r="P20" s="32">
        <f t="shared" si="7"/>
        <v>0.29411764705882354</v>
      </c>
    </row>
    <row r="21" spans="1:16" ht="12.75">
      <c r="A21" s="24" t="s">
        <v>54</v>
      </c>
      <c r="B21" s="25">
        <v>8</v>
      </c>
      <c r="C21" s="25">
        <f>0+0+0+2+0+1+0+1</f>
        <v>4</v>
      </c>
      <c r="D21" s="25">
        <f>4+4+2+4+3+5+3+3</f>
        <v>28</v>
      </c>
      <c r="E21" s="26">
        <f t="shared" si="4"/>
        <v>0.14285714285714285</v>
      </c>
      <c r="F21" s="42">
        <f>0+0+2</f>
        <v>2</v>
      </c>
      <c r="G21" s="25">
        <f>2+0+1+1+2+1</f>
        <v>7</v>
      </c>
      <c r="H21" s="31">
        <f>1+1</f>
        <v>2</v>
      </c>
      <c r="I21" s="31">
        <f>0</f>
        <v>0</v>
      </c>
      <c r="J21" s="47">
        <f>0+2+1+1</f>
        <v>4</v>
      </c>
      <c r="K21" s="31">
        <f>0</f>
        <v>0</v>
      </c>
      <c r="L21" s="31">
        <f>0</f>
        <v>0</v>
      </c>
      <c r="M21" s="31">
        <f>0</f>
        <v>0</v>
      </c>
      <c r="N21" s="25">
        <f t="shared" si="5"/>
        <v>4</v>
      </c>
      <c r="O21" s="32">
        <f t="shared" si="6"/>
        <v>0.14285714285714285</v>
      </c>
      <c r="P21" s="32">
        <f t="shared" si="7"/>
        <v>0.2</v>
      </c>
    </row>
    <row r="22" spans="1:16" ht="13.5" thickBot="1">
      <c r="A22" s="85" t="s">
        <v>71</v>
      </c>
      <c r="B22" s="86">
        <v>1</v>
      </c>
      <c r="C22" s="86">
        <f>0</f>
        <v>0</v>
      </c>
      <c r="D22" s="86">
        <f>5</f>
        <v>5</v>
      </c>
      <c r="E22" s="87">
        <f t="shared" si="4"/>
        <v>0</v>
      </c>
      <c r="F22" s="88">
        <f>0</f>
        <v>0</v>
      </c>
      <c r="G22" s="86">
        <f>0</f>
        <v>0</v>
      </c>
      <c r="H22" s="89">
        <f>0</f>
        <v>0</v>
      </c>
      <c r="I22" s="89">
        <f>0</f>
        <v>0</v>
      </c>
      <c r="J22" s="90">
        <f>0</f>
        <v>0</v>
      </c>
      <c r="K22" s="89">
        <f>0</f>
        <v>0</v>
      </c>
      <c r="L22" s="89">
        <f>0</f>
        <v>0</v>
      </c>
      <c r="M22" s="89">
        <f>0</f>
        <v>0</v>
      </c>
      <c r="N22" s="86">
        <f t="shared" si="5"/>
        <v>0</v>
      </c>
      <c r="O22" s="91">
        <f t="shared" si="6"/>
        <v>0</v>
      </c>
      <c r="P22" s="91">
        <f t="shared" si="7"/>
        <v>0</v>
      </c>
    </row>
    <row r="23" spans="1:16" ht="13.5" thickTop="1">
      <c r="A23" s="18" t="s">
        <v>0</v>
      </c>
      <c r="B23" s="19">
        <v>9</v>
      </c>
      <c r="C23" s="19">
        <f>SUM(C2:C22)</f>
        <v>177</v>
      </c>
      <c r="D23" s="19">
        <f>SUM(D2:D22)</f>
        <v>331</v>
      </c>
      <c r="E23" s="20">
        <f>C23/D23</f>
        <v>0.5347432024169184</v>
      </c>
      <c r="F23" s="44">
        <f>SUM(F2:F22)</f>
        <v>147</v>
      </c>
      <c r="G23" s="19">
        <f>SUM(G2:G22)</f>
        <v>148</v>
      </c>
      <c r="H23" s="19">
        <f>SUM(H4:H22)</f>
        <v>10</v>
      </c>
      <c r="I23" s="45">
        <f>SUM(I2:I22)</f>
        <v>9</v>
      </c>
      <c r="J23" s="48">
        <f>SUM(J2:J22)</f>
        <v>112</v>
      </c>
      <c r="K23" s="45">
        <f>SUM(K2:K22)</f>
        <v>45</v>
      </c>
      <c r="L23" s="45">
        <f>SUM(L2:L22)</f>
        <v>11</v>
      </c>
      <c r="M23" s="45">
        <f>SUM(M2:M22)</f>
        <v>9</v>
      </c>
      <c r="N23" s="45">
        <f>SUM(N2:N22)</f>
        <v>271</v>
      </c>
      <c r="O23" s="28">
        <f>N23/D23</f>
        <v>0.8187311178247734</v>
      </c>
      <c r="P23" s="29">
        <f>(C23+H23)/(D23+H23+I23)</f>
        <v>0.5342857142857143</v>
      </c>
    </row>
    <row r="24" spans="7:13" ht="12.75">
      <c r="G24" s="15"/>
      <c r="H24" s="15"/>
      <c r="I24" s="9"/>
      <c r="J24" s="9"/>
      <c r="K24" s="9"/>
      <c r="L24" s="9"/>
      <c r="M24" s="9"/>
    </row>
    <row r="25" spans="7:13" ht="12.75">
      <c r="G25" s="15"/>
      <c r="H25" s="15" t="s">
        <v>6</v>
      </c>
      <c r="I25" s="9">
        <f>C23</f>
        <v>177</v>
      </c>
      <c r="J25" s="9">
        <f>J23+K23+L23+M23</f>
        <v>177</v>
      </c>
      <c r="K25" s="9" t="s">
        <v>13</v>
      </c>
      <c r="L25" s="9"/>
      <c r="M25" s="9"/>
    </row>
    <row r="26" ht="13.5" thickBot="1">
      <c r="F26" s="95"/>
    </row>
    <row r="27" spans="6:7" ht="13.5" thickBot="1">
      <c r="F27" s="96" t="s">
        <v>67</v>
      </c>
      <c r="G27" s="117">
        <f>C23/B23</f>
        <v>19.666666666666668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="85" zoomScaleNormal="85" workbookViewId="0" topLeftCell="A1">
      <selection activeCell="E29" sqref="E29"/>
    </sheetView>
  </sheetViews>
  <sheetFormatPr defaultColWidth="9.140625" defaultRowHeight="12.75"/>
  <cols>
    <col min="1" max="1" width="9.7109375" style="0" customWidth="1"/>
    <col min="2" max="2" width="21.00390625" style="0" customWidth="1"/>
    <col min="3" max="3" width="14.140625" style="0" customWidth="1"/>
    <col min="4" max="4" width="9.00390625" style="0" customWidth="1"/>
    <col min="5" max="5" width="14.140625" style="0" customWidth="1"/>
    <col min="6" max="6" width="11.8515625" style="35" customWidth="1"/>
    <col min="7" max="7" width="10.7109375" style="0" customWidth="1"/>
    <col min="8" max="8" width="21.00390625" style="8" customWidth="1"/>
    <col min="9" max="9" width="15.7109375" style="36" customWidth="1"/>
    <col min="10" max="10" width="15.28125" style="8" customWidth="1"/>
    <col min="11" max="11" width="8.57421875" style="9" customWidth="1"/>
    <col min="13" max="13" width="19.00390625" style="0" customWidth="1"/>
  </cols>
  <sheetData>
    <row r="1" ht="12.75">
      <c r="A1" s="83" t="s">
        <v>35</v>
      </c>
    </row>
    <row r="2" spans="1:11" s="1" customFormat="1" ht="34.5" thickBot="1">
      <c r="A2" s="65" t="s">
        <v>0</v>
      </c>
      <c r="B2" s="65"/>
      <c r="C2" s="65"/>
      <c r="D2" s="65" t="s">
        <v>27</v>
      </c>
      <c r="E2" s="65"/>
      <c r="F2" s="66" t="s">
        <v>1</v>
      </c>
      <c r="G2" s="66" t="s">
        <v>2</v>
      </c>
      <c r="H2" s="68" t="s">
        <v>3</v>
      </c>
      <c r="I2" s="68" t="s">
        <v>4</v>
      </c>
      <c r="J2" s="67" t="s">
        <v>5</v>
      </c>
      <c r="K2" s="10"/>
    </row>
    <row r="3" spans="1:11" s="13" customFormat="1" ht="23.25">
      <c r="A3" s="2" t="s">
        <v>25</v>
      </c>
      <c r="B3" s="2"/>
      <c r="C3" s="2"/>
      <c r="D3" s="3">
        <v>8</v>
      </c>
      <c r="E3" s="3">
        <v>2</v>
      </c>
      <c r="F3" s="84">
        <f>27+8+19+13+12+7+7+25+15+22</f>
        <v>155</v>
      </c>
      <c r="G3" s="84">
        <f>7+11+9+0+2+0+8+10+5+11</f>
        <v>63</v>
      </c>
      <c r="H3" s="7">
        <f aca="true" t="shared" si="0" ref="H3:H8">F3/(E3+D3)</f>
        <v>15.5</v>
      </c>
      <c r="I3" s="7">
        <f aca="true" t="shared" si="1" ref="I3:I8">G3/(E3+D3)</f>
        <v>6.3</v>
      </c>
      <c r="J3" s="72">
        <f aca="true" t="shared" si="2" ref="J3:J8">H3-I3</f>
        <v>9.2</v>
      </c>
      <c r="K3" s="11"/>
    </row>
    <row r="4" spans="1:11" ht="23.25">
      <c r="A4" s="4" t="s">
        <v>36</v>
      </c>
      <c r="B4" s="4"/>
      <c r="C4" s="4"/>
      <c r="D4" s="3">
        <v>7</v>
      </c>
      <c r="E4" s="3">
        <v>3</v>
      </c>
      <c r="F4" s="84">
        <f>16+12+23+17+2+16+16+14+7+11</f>
        <v>134</v>
      </c>
      <c r="G4" s="84">
        <f>6+17+4+15+12+6+13+4+0+22</f>
        <v>99</v>
      </c>
      <c r="H4" s="7">
        <f t="shared" si="0"/>
        <v>13.4</v>
      </c>
      <c r="I4" s="7">
        <f t="shared" si="1"/>
        <v>9.9</v>
      </c>
      <c r="J4" s="73">
        <f t="shared" si="2"/>
        <v>3.5</v>
      </c>
      <c r="K4" s="11"/>
    </row>
    <row r="5" spans="1:12" ht="23.25">
      <c r="A5" s="2" t="s">
        <v>26</v>
      </c>
      <c r="B5" s="2"/>
      <c r="C5" s="2"/>
      <c r="D5" s="3">
        <v>7</v>
      </c>
      <c r="E5" s="3">
        <v>3</v>
      </c>
      <c r="F5" s="84">
        <f>25+11+14+15+24+7+8+18+0+0</f>
        <v>122</v>
      </c>
      <c r="G5" s="84">
        <f>0+8+9+17+14+0+7+2+7+7</f>
        <v>71</v>
      </c>
      <c r="H5" s="7">
        <f t="shared" si="0"/>
        <v>12.2</v>
      </c>
      <c r="I5" s="7">
        <f t="shared" si="1"/>
        <v>7.1</v>
      </c>
      <c r="J5" s="73">
        <f t="shared" si="2"/>
        <v>5.1</v>
      </c>
      <c r="K5" s="11"/>
      <c r="L5" s="9"/>
    </row>
    <row r="6" spans="1:12" ht="23.25">
      <c r="A6" s="2" t="s">
        <v>37</v>
      </c>
      <c r="B6" s="2"/>
      <c r="C6" s="2"/>
      <c r="D6" s="3">
        <v>4</v>
      </c>
      <c r="E6" s="3">
        <v>6</v>
      </c>
      <c r="F6" s="84">
        <f>6+30+9+33+14+6+22+10+10+7</f>
        <v>147</v>
      </c>
      <c r="G6" s="84">
        <f>16+0+19+32+24+16+1+25+9+0</f>
        <v>142</v>
      </c>
      <c r="H6" s="7">
        <f t="shared" si="0"/>
        <v>14.7</v>
      </c>
      <c r="I6" s="7">
        <f t="shared" si="1"/>
        <v>14.2</v>
      </c>
      <c r="J6" s="73">
        <f t="shared" si="2"/>
        <v>0.5</v>
      </c>
      <c r="K6" s="11"/>
      <c r="L6" s="9"/>
    </row>
    <row r="7" spans="1:11" ht="23.25">
      <c r="A7" s="2" t="s">
        <v>39</v>
      </c>
      <c r="B7" s="2"/>
      <c r="C7" s="2"/>
      <c r="D7" s="3">
        <v>3</v>
      </c>
      <c r="E7" s="3">
        <v>7</v>
      </c>
      <c r="F7" s="84">
        <f>7+17+9+32+13+0+13+2+10+14</f>
        <v>117</v>
      </c>
      <c r="G7" s="84">
        <f>27+12+14+33+3+7+16+18+9+15</f>
        <v>154</v>
      </c>
      <c r="H7" s="7">
        <f t="shared" si="0"/>
        <v>11.7</v>
      </c>
      <c r="I7" s="7">
        <f t="shared" si="1"/>
        <v>15.4</v>
      </c>
      <c r="J7" s="73">
        <f t="shared" si="2"/>
        <v>-3.700000000000001</v>
      </c>
      <c r="K7" s="11"/>
    </row>
    <row r="8" spans="1:12" ht="24" thickBot="1">
      <c r="A8" s="69" t="s">
        <v>38</v>
      </c>
      <c r="B8" s="69"/>
      <c r="C8" s="69"/>
      <c r="D8" s="70">
        <v>1</v>
      </c>
      <c r="E8" s="70">
        <v>9</v>
      </c>
      <c r="F8" s="92">
        <f>0+0+4+0+3+0+1+4+5+15</f>
        <v>32</v>
      </c>
      <c r="G8" s="92">
        <f>25+30+23+13+13+7+22+14+15+14</f>
        <v>176</v>
      </c>
      <c r="H8" s="71">
        <f t="shared" si="0"/>
        <v>3.2</v>
      </c>
      <c r="I8" s="71">
        <f t="shared" si="1"/>
        <v>17.6</v>
      </c>
      <c r="J8" s="74">
        <f t="shared" si="2"/>
        <v>-14.400000000000002</v>
      </c>
      <c r="K8" s="11"/>
      <c r="L8" s="5"/>
    </row>
    <row r="9" spans="1:13" ht="14.25" thickBot="1" thickTop="1">
      <c r="A9" s="40"/>
      <c r="B9" s="132" t="s">
        <v>63</v>
      </c>
      <c r="C9" s="135">
        <f>'Player Stats'!E23</f>
        <v>0.5347432024169184</v>
      </c>
      <c r="D9" s="62" t="s">
        <v>23</v>
      </c>
      <c r="E9" s="63"/>
      <c r="F9" s="64">
        <f>'Player Stats'!C23/'Player Stats'!B23</f>
        <v>19.666666666666668</v>
      </c>
      <c r="G9" s="94">
        <f>'Player Stats'!B23</f>
        <v>9</v>
      </c>
      <c r="H9" s="59" t="s">
        <v>24</v>
      </c>
      <c r="I9" s="8"/>
      <c r="J9" s="9"/>
      <c r="K9" s="8"/>
      <c r="L9" s="9"/>
      <c r="M9" s="75"/>
    </row>
    <row r="10" spans="1:13" ht="13.5" thickBot="1">
      <c r="A10" s="82" t="s">
        <v>31</v>
      </c>
      <c r="B10" s="78"/>
      <c r="C10" s="78"/>
      <c r="D10" s="79"/>
      <c r="E10" s="79"/>
      <c r="F10" s="80"/>
      <c r="G10" s="54"/>
      <c r="H10" s="76"/>
      <c r="I10" s="77"/>
      <c r="J10" s="81"/>
      <c r="K10" s="12"/>
      <c r="L10" s="75"/>
      <c r="M10" s="12"/>
    </row>
    <row r="11" spans="1:13" s="13" customFormat="1" ht="12.75">
      <c r="A11" s="138">
        <v>37264</v>
      </c>
      <c r="B11" s="97" t="s">
        <v>37</v>
      </c>
      <c r="C11" s="98">
        <v>6</v>
      </c>
      <c r="D11" s="123" t="s">
        <v>40</v>
      </c>
      <c r="E11" s="124"/>
      <c r="F11" s="125">
        <v>16</v>
      </c>
      <c r="G11" s="144">
        <v>36934</v>
      </c>
      <c r="H11" s="123" t="s">
        <v>36</v>
      </c>
      <c r="I11" s="136">
        <v>16</v>
      </c>
      <c r="J11" s="101" t="s">
        <v>44</v>
      </c>
      <c r="K11" s="99"/>
      <c r="L11" s="100">
        <v>6</v>
      </c>
      <c r="M11" s="60"/>
    </row>
    <row r="12" spans="1:13" s="13" customFormat="1" ht="12.75">
      <c r="A12" s="139"/>
      <c r="B12" s="121" t="s">
        <v>26</v>
      </c>
      <c r="C12" s="122">
        <v>25</v>
      </c>
      <c r="D12" s="104" t="s">
        <v>41</v>
      </c>
      <c r="E12" s="105"/>
      <c r="F12" s="106">
        <v>0</v>
      </c>
      <c r="G12" s="145"/>
      <c r="H12" s="102" t="s">
        <v>43</v>
      </c>
      <c r="I12" s="103">
        <v>0</v>
      </c>
      <c r="J12" s="126" t="s">
        <v>29</v>
      </c>
      <c r="K12" s="127"/>
      <c r="L12" s="128">
        <v>7</v>
      </c>
      <c r="M12" s="60"/>
    </row>
    <row r="13" spans="1:13" s="13" customFormat="1" ht="13.5" thickBot="1">
      <c r="A13" s="140"/>
      <c r="B13" s="118" t="s">
        <v>28</v>
      </c>
      <c r="C13" s="119">
        <v>27</v>
      </c>
      <c r="D13" s="111" t="s">
        <v>42</v>
      </c>
      <c r="E13" s="112"/>
      <c r="F13" s="113">
        <v>7</v>
      </c>
      <c r="G13" s="146"/>
      <c r="H13" s="109" t="s">
        <v>39</v>
      </c>
      <c r="I13" s="110">
        <v>0</v>
      </c>
      <c r="J13" s="129" t="s">
        <v>30</v>
      </c>
      <c r="K13" s="130"/>
      <c r="L13" s="131">
        <v>7</v>
      </c>
      <c r="M13" s="60"/>
    </row>
    <row r="14" spans="1:13" s="13" customFormat="1" ht="13.5" thickTop="1">
      <c r="A14" s="141">
        <v>36906</v>
      </c>
      <c r="B14" s="102" t="s">
        <v>28</v>
      </c>
      <c r="C14" s="103">
        <v>8</v>
      </c>
      <c r="D14" s="126" t="s">
        <v>29</v>
      </c>
      <c r="E14" s="127"/>
      <c r="F14" s="128">
        <v>11</v>
      </c>
      <c r="G14" s="145">
        <v>36941</v>
      </c>
      <c r="H14" s="121" t="s">
        <v>26</v>
      </c>
      <c r="I14" s="122">
        <v>8</v>
      </c>
      <c r="J14" s="107" t="s">
        <v>30</v>
      </c>
      <c r="K14" s="108"/>
      <c r="L14" s="106">
        <v>7</v>
      </c>
      <c r="M14" s="60"/>
    </row>
    <row r="15" spans="1:13" s="13" customFormat="1" ht="12.75">
      <c r="A15" s="141"/>
      <c r="B15" s="121" t="s">
        <v>39</v>
      </c>
      <c r="C15" s="122">
        <v>17</v>
      </c>
      <c r="D15" s="107" t="s">
        <v>40</v>
      </c>
      <c r="E15" s="108"/>
      <c r="F15" s="106">
        <v>12</v>
      </c>
      <c r="G15" s="145"/>
      <c r="H15" s="121" t="s">
        <v>36</v>
      </c>
      <c r="I15" s="122">
        <v>16</v>
      </c>
      <c r="J15" s="107" t="s">
        <v>42</v>
      </c>
      <c r="K15" s="108"/>
      <c r="L15" s="106">
        <v>13</v>
      </c>
      <c r="M15" s="60"/>
    </row>
    <row r="16" spans="1:13" s="13" customFormat="1" ht="13.5" thickBot="1">
      <c r="A16" s="142"/>
      <c r="B16" s="118" t="s">
        <v>37</v>
      </c>
      <c r="C16" s="119">
        <v>30</v>
      </c>
      <c r="D16" s="111" t="s">
        <v>41</v>
      </c>
      <c r="E16" s="112"/>
      <c r="F16" s="113">
        <v>0</v>
      </c>
      <c r="G16" s="146"/>
      <c r="H16" s="109" t="s">
        <v>43</v>
      </c>
      <c r="I16" s="110">
        <v>1</v>
      </c>
      <c r="J16" s="129" t="s">
        <v>44</v>
      </c>
      <c r="K16" s="130"/>
      <c r="L16" s="131">
        <v>22</v>
      </c>
      <c r="M16" s="60"/>
    </row>
    <row r="17" spans="1:13" s="13" customFormat="1" ht="13.5" thickTop="1">
      <c r="A17" s="141">
        <v>36913</v>
      </c>
      <c r="B17" s="102" t="s">
        <v>39</v>
      </c>
      <c r="C17" s="103">
        <v>9</v>
      </c>
      <c r="D17" s="126" t="s">
        <v>29</v>
      </c>
      <c r="E17" s="127"/>
      <c r="F17" s="128">
        <v>14</v>
      </c>
      <c r="G17" s="145">
        <v>36948</v>
      </c>
      <c r="H17" s="121" t="s">
        <v>26</v>
      </c>
      <c r="I17" s="122">
        <v>18</v>
      </c>
      <c r="J17" s="107" t="s">
        <v>42</v>
      </c>
      <c r="K17" s="108"/>
      <c r="L17" s="106">
        <v>2</v>
      </c>
      <c r="M17" s="60"/>
    </row>
    <row r="18" spans="1:13" s="13" customFormat="1" ht="12.75">
      <c r="A18" s="141"/>
      <c r="B18" s="102" t="s">
        <v>37</v>
      </c>
      <c r="C18" s="103">
        <v>9</v>
      </c>
      <c r="D18" s="126" t="s">
        <v>30</v>
      </c>
      <c r="E18" s="127"/>
      <c r="F18" s="128">
        <v>19</v>
      </c>
      <c r="G18" s="145"/>
      <c r="H18" s="121" t="s">
        <v>28</v>
      </c>
      <c r="I18" s="122">
        <v>25</v>
      </c>
      <c r="J18" s="107" t="s">
        <v>44</v>
      </c>
      <c r="K18" s="108"/>
      <c r="L18" s="106">
        <v>10</v>
      </c>
      <c r="M18" s="60"/>
    </row>
    <row r="19" spans="1:13" s="54" customFormat="1" ht="13.5" thickBot="1">
      <c r="A19" s="142"/>
      <c r="B19" s="118" t="s">
        <v>36</v>
      </c>
      <c r="C19" s="119">
        <v>23</v>
      </c>
      <c r="D19" s="111" t="s">
        <v>41</v>
      </c>
      <c r="E19" s="112"/>
      <c r="F19" s="113">
        <v>4</v>
      </c>
      <c r="G19" s="146"/>
      <c r="H19" s="109" t="s">
        <v>43</v>
      </c>
      <c r="I19" s="110">
        <v>4</v>
      </c>
      <c r="J19" s="129" t="s">
        <v>40</v>
      </c>
      <c r="K19" s="130"/>
      <c r="L19" s="131">
        <v>14</v>
      </c>
      <c r="M19" s="60"/>
    </row>
    <row r="20" spans="1:13" s="13" customFormat="1" ht="13.5" thickTop="1">
      <c r="A20" s="141">
        <v>36920</v>
      </c>
      <c r="B20" s="102" t="s">
        <v>43</v>
      </c>
      <c r="C20" s="103">
        <v>0</v>
      </c>
      <c r="D20" s="126" t="s">
        <v>30</v>
      </c>
      <c r="E20" s="127"/>
      <c r="F20" s="128">
        <v>13</v>
      </c>
      <c r="G20" s="145">
        <v>36955</v>
      </c>
      <c r="H20" s="137" t="s">
        <v>28</v>
      </c>
      <c r="I20" s="122">
        <v>15</v>
      </c>
      <c r="J20" s="107" t="s">
        <v>41</v>
      </c>
      <c r="K20" s="108"/>
      <c r="L20" s="106">
        <v>5</v>
      </c>
      <c r="M20" s="60"/>
    </row>
    <row r="21" spans="1:13" s="13" customFormat="1" ht="12.75">
      <c r="A21" s="141"/>
      <c r="B21" s="102" t="s">
        <v>39</v>
      </c>
      <c r="C21" s="103">
        <v>32</v>
      </c>
      <c r="D21" s="126" t="s">
        <v>44</v>
      </c>
      <c r="E21" s="127"/>
      <c r="F21" s="128">
        <v>33</v>
      </c>
      <c r="G21" s="145"/>
      <c r="H21" s="102" t="s">
        <v>37</v>
      </c>
      <c r="I21" s="103">
        <v>9</v>
      </c>
      <c r="J21" s="126" t="s">
        <v>42</v>
      </c>
      <c r="K21" s="127"/>
      <c r="L21" s="128">
        <v>10</v>
      </c>
      <c r="M21" s="60"/>
    </row>
    <row r="22" spans="1:13" s="13" customFormat="1" ht="13.5" thickBot="1">
      <c r="A22" s="142"/>
      <c r="B22" s="109" t="s">
        <v>26</v>
      </c>
      <c r="C22" s="110">
        <v>15</v>
      </c>
      <c r="D22" s="129" t="s">
        <v>40</v>
      </c>
      <c r="E22" s="130"/>
      <c r="F22" s="131">
        <v>17</v>
      </c>
      <c r="G22" s="146"/>
      <c r="H22" s="118" t="s">
        <v>36</v>
      </c>
      <c r="I22" s="119">
        <v>7</v>
      </c>
      <c r="J22" s="111" t="s">
        <v>29</v>
      </c>
      <c r="K22" s="112"/>
      <c r="L22" s="113">
        <v>0</v>
      </c>
      <c r="M22" s="60"/>
    </row>
    <row r="23" spans="1:13" s="13" customFormat="1" ht="13.5" thickTop="1">
      <c r="A23" s="141">
        <v>36927</v>
      </c>
      <c r="B23" s="102" t="s">
        <v>43</v>
      </c>
      <c r="C23" s="103">
        <v>3</v>
      </c>
      <c r="D23" s="126" t="s">
        <v>42</v>
      </c>
      <c r="E23" s="127"/>
      <c r="F23" s="128">
        <v>13</v>
      </c>
      <c r="G23" s="145">
        <v>36962</v>
      </c>
      <c r="H23" s="102" t="s">
        <v>39</v>
      </c>
      <c r="I23" s="103">
        <v>14</v>
      </c>
      <c r="J23" s="126" t="s">
        <v>41</v>
      </c>
      <c r="K23" s="127"/>
      <c r="L23" s="128">
        <v>15</v>
      </c>
      <c r="M23" s="60"/>
    </row>
    <row r="24" spans="1:13" s="13" customFormat="1" ht="12.75">
      <c r="A24" s="141"/>
      <c r="B24" s="102" t="s">
        <v>36</v>
      </c>
      <c r="C24" s="103">
        <v>2</v>
      </c>
      <c r="D24" s="126" t="s">
        <v>30</v>
      </c>
      <c r="E24" s="127"/>
      <c r="F24" s="128">
        <v>12</v>
      </c>
      <c r="G24" s="147"/>
      <c r="H24" s="121" t="s">
        <v>28</v>
      </c>
      <c r="I24" s="122">
        <v>22</v>
      </c>
      <c r="J24" s="107" t="s">
        <v>40</v>
      </c>
      <c r="K24" s="108"/>
      <c r="L24" s="106">
        <v>11</v>
      </c>
      <c r="M24" s="60"/>
    </row>
    <row r="25" spans="1:13" s="13" customFormat="1" ht="13.5" thickBot="1">
      <c r="A25" s="143"/>
      <c r="B25" s="133" t="s">
        <v>26</v>
      </c>
      <c r="C25" s="134">
        <v>24</v>
      </c>
      <c r="D25" s="114" t="s">
        <v>44</v>
      </c>
      <c r="E25" s="115"/>
      <c r="F25" s="116">
        <v>14</v>
      </c>
      <c r="G25" s="148"/>
      <c r="H25" s="133" t="s">
        <v>37</v>
      </c>
      <c r="I25" s="134">
        <v>7</v>
      </c>
      <c r="J25" s="114" t="s">
        <v>29</v>
      </c>
      <c r="K25" s="115"/>
      <c r="L25" s="116">
        <v>0</v>
      </c>
      <c r="M25" s="60"/>
    </row>
    <row r="26" spans="2:13" s="13" customFormat="1" ht="12.75">
      <c r="B26" s="24" t="s">
        <v>32</v>
      </c>
      <c r="C26" s="93"/>
      <c r="D26" s="93"/>
      <c r="I26" s="9"/>
      <c r="M26" s="54"/>
    </row>
    <row r="27" spans="2:9" s="13" customFormat="1" ht="12.75">
      <c r="B27" s="93"/>
      <c r="C27" s="93"/>
      <c r="D27" s="93"/>
      <c r="I27" s="9"/>
    </row>
    <row r="28" spans="7:9" s="13" customFormat="1" ht="12.75">
      <c r="G28" s="13" t="s">
        <v>56</v>
      </c>
      <c r="I28" s="9"/>
    </row>
    <row r="29" spans="7:9" s="13" customFormat="1" ht="12.75">
      <c r="G29" s="13" t="s">
        <v>57</v>
      </c>
      <c r="I29" s="9"/>
    </row>
    <row r="30" spans="7:9" s="13" customFormat="1" ht="12.75">
      <c r="G30" s="13" t="s">
        <v>58</v>
      </c>
      <c r="I30" s="9"/>
    </row>
    <row r="31" spans="7:9" s="13" customFormat="1" ht="12.75">
      <c r="G31" s="13" t="s">
        <v>59</v>
      </c>
      <c r="I31" s="9"/>
    </row>
    <row r="32" spans="7:9" s="13" customFormat="1" ht="12.75">
      <c r="G32" s="13" t="s">
        <v>60</v>
      </c>
      <c r="I32" s="9"/>
    </row>
    <row r="33" s="13" customFormat="1" ht="12.75">
      <c r="I33" s="9"/>
    </row>
    <row r="34" s="13" customFormat="1" ht="12.75">
      <c r="I34" s="9"/>
    </row>
    <row r="35" s="13" customFormat="1" ht="12.75">
      <c r="I35" s="9"/>
    </row>
    <row r="36" s="13" customFormat="1" ht="12.75">
      <c r="I36" s="9"/>
    </row>
    <row r="37" s="13" customFormat="1" ht="12.75">
      <c r="I37" s="9"/>
    </row>
    <row r="38" s="13" customFormat="1" ht="12.75">
      <c r="I38" s="9"/>
    </row>
    <row r="39" s="13" customFormat="1" ht="12.75">
      <c r="I39" s="9"/>
    </row>
    <row r="40" s="13" customFormat="1" ht="12.75">
      <c r="I40" s="9"/>
    </row>
    <row r="41" spans="1:11" s="13" customFormat="1" ht="12.75">
      <c r="A41" s="61"/>
      <c r="B41" s="61"/>
      <c r="C41" s="61"/>
      <c r="D41" s="56"/>
      <c r="E41" s="14"/>
      <c r="F41" s="14"/>
      <c r="H41" s="38"/>
      <c r="I41" s="37"/>
      <c r="J41" s="38"/>
      <c r="K41" s="9"/>
    </row>
    <row r="42" spans="1:11" s="13" customFormat="1" ht="12.75">
      <c r="A42" s="61"/>
      <c r="B42" s="61"/>
      <c r="C42" s="61"/>
      <c r="D42" s="56"/>
      <c r="E42" s="14"/>
      <c r="F42" s="14"/>
      <c r="H42" s="38"/>
      <c r="I42" s="37"/>
      <c r="J42" s="38"/>
      <c r="K42" s="9"/>
    </row>
    <row r="43" spans="1:11" s="13" customFormat="1" ht="12.75">
      <c r="A43" s="55"/>
      <c r="B43" s="55"/>
      <c r="C43" s="55"/>
      <c r="D43" s="56"/>
      <c r="E43" s="14"/>
      <c r="F43" s="14"/>
      <c r="H43" s="38"/>
      <c r="I43" s="37"/>
      <c r="J43" s="38"/>
      <c r="K43" s="9"/>
    </row>
    <row r="44" spans="1:11" s="13" customFormat="1" ht="12.75">
      <c r="A44" s="55"/>
      <c r="B44" s="55"/>
      <c r="C44" s="55"/>
      <c r="D44" s="56"/>
      <c r="E44" s="14"/>
      <c r="F44" s="14"/>
      <c r="H44" s="38"/>
      <c r="I44" s="37"/>
      <c r="J44" s="38"/>
      <c r="K44" s="9"/>
    </row>
    <row r="45" spans="1:11" s="13" customFormat="1" ht="12.75">
      <c r="A45" s="55"/>
      <c r="B45" s="55"/>
      <c r="C45" s="55"/>
      <c r="D45" s="56"/>
      <c r="E45" s="14"/>
      <c r="F45" s="14"/>
      <c r="H45" s="38"/>
      <c r="I45" s="37"/>
      <c r="J45" s="38"/>
      <c r="K45" s="9"/>
    </row>
    <row r="46" spans="4:11" s="13" customFormat="1" ht="12.75">
      <c r="D46" s="56"/>
      <c r="E46" s="14"/>
      <c r="F46" s="14"/>
      <c r="H46" s="38"/>
      <c r="I46" s="37"/>
      <c r="J46" s="38"/>
      <c r="K46" s="9"/>
    </row>
    <row r="47" spans="4:11" s="13" customFormat="1" ht="12.75">
      <c r="D47" s="56"/>
      <c r="F47" s="14"/>
      <c r="H47" s="38"/>
      <c r="I47" s="37"/>
      <c r="J47" s="38"/>
      <c r="K47" s="9"/>
    </row>
    <row r="48" spans="6:11" s="13" customFormat="1" ht="12.75">
      <c r="F48" s="14"/>
      <c r="H48" s="38"/>
      <c r="I48" s="37"/>
      <c r="J48" s="38"/>
      <c r="K48" s="9"/>
    </row>
    <row r="49" spans="6:11" s="13" customFormat="1" ht="12.75">
      <c r="F49" s="14"/>
      <c r="H49" s="38"/>
      <c r="I49" s="37"/>
      <c r="J49" s="38"/>
      <c r="K49" s="9"/>
    </row>
    <row r="50" spans="6:11" s="13" customFormat="1" ht="12.75">
      <c r="F50" s="14"/>
      <c r="H50" s="38"/>
      <c r="I50" s="37"/>
      <c r="J50" s="38"/>
      <c r="K50" s="9"/>
    </row>
    <row r="51" spans="6:11" s="13" customFormat="1" ht="12.75">
      <c r="F51" s="14"/>
      <c r="H51" s="38"/>
      <c r="I51" s="37"/>
      <c r="J51" s="38"/>
      <c r="K51" s="9"/>
    </row>
    <row r="52" spans="6:11" s="13" customFormat="1" ht="12.75">
      <c r="F52" s="14"/>
      <c r="H52" s="38"/>
      <c r="I52" s="37"/>
      <c r="J52" s="38"/>
      <c r="K52" s="9"/>
    </row>
    <row r="53" spans="6:11" s="13" customFormat="1" ht="12.75">
      <c r="F53" s="14"/>
      <c r="H53" s="38"/>
      <c r="I53" s="37"/>
      <c r="J53" s="38"/>
      <c r="K53" s="9"/>
    </row>
    <row r="54" spans="6:11" s="13" customFormat="1" ht="12.75">
      <c r="F54" s="14"/>
      <c r="H54" s="38"/>
      <c r="I54" s="37"/>
      <c r="J54" s="38"/>
      <c r="K54" s="9"/>
    </row>
    <row r="55" spans="6:11" s="13" customFormat="1" ht="12.75">
      <c r="F55" s="14"/>
      <c r="H55" s="38"/>
      <c r="I55" s="39"/>
      <c r="J55" s="38"/>
      <c r="K55" s="9"/>
    </row>
    <row r="56" spans="6:11" s="13" customFormat="1" ht="12.75">
      <c r="F56" s="14"/>
      <c r="H56" s="38"/>
      <c r="I56" s="39"/>
      <c r="J56" s="38"/>
      <c r="K56" s="9"/>
    </row>
    <row r="57" spans="6:11" s="13" customFormat="1" ht="12.75">
      <c r="F57" s="14"/>
      <c r="H57" s="38"/>
      <c r="I57" s="39"/>
      <c r="J57" s="38"/>
      <c r="K57" s="9"/>
    </row>
    <row r="58" spans="6:11" s="13" customFormat="1" ht="12.75">
      <c r="F58" s="14"/>
      <c r="H58" s="38"/>
      <c r="I58" s="39"/>
      <c r="J58" s="38"/>
      <c r="K58" s="9"/>
    </row>
    <row r="59" spans="6:11" s="13" customFormat="1" ht="12.75">
      <c r="F59" s="14"/>
      <c r="H59" s="38"/>
      <c r="I59" s="39"/>
      <c r="J59" s="38"/>
      <c r="K59" s="9"/>
    </row>
    <row r="60" spans="6:11" s="13" customFormat="1" ht="12.75">
      <c r="F60" s="14"/>
      <c r="H60" s="38"/>
      <c r="I60" s="39"/>
      <c r="J60" s="38"/>
      <c r="K60" s="9"/>
    </row>
    <row r="61" spans="6:11" s="13" customFormat="1" ht="12.75">
      <c r="F61" s="14"/>
      <c r="H61" s="38"/>
      <c r="I61" s="39"/>
      <c r="J61" s="38"/>
      <c r="K61" s="9"/>
    </row>
    <row r="62" spans="6:11" s="13" customFormat="1" ht="12.75">
      <c r="F62" s="14"/>
      <c r="H62" s="38"/>
      <c r="I62" s="39"/>
      <c r="J62" s="38"/>
      <c r="K62" s="9"/>
    </row>
    <row r="63" spans="6:11" s="13" customFormat="1" ht="12.75">
      <c r="F63" s="14"/>
      <c r="H63" s="38"/>
      <c r="I63" s="39"/>
      <c r="J63" s="38"/>
      <c r="K63" s="9"/>
    </row>
    <row r="64" spans="4:9" ht="12.75">
      <c r="D64" s="13"/>
      <c r="E64" s="13"/>
      <c r="F64" s="14"/>
      <c r="G64" s="13"/>
      <c r="H64" s="38"/>
      <c r="I64" s="39"/>
    </row>
    <row r="65" spans="4:9" ht="12.75">
      <c r="D65" s="13"/>
      <c r="E65" s="13"/>
      <c r="F65" s="14"/>
      <c r="G65" s="13"/>
      <c r="H65" s="38"/>
      <c r="I65" s="39"/>
    </row>
    <row r="66" spans="4:9" ht="12.75">
      <c r="D66" s="13"/>
      <c r="E66" s="13"/>
      <c r="F66" s="14"/>
      <c r="G66" s="13"/>
      <c r="H66" s="38"/>
      <c r="I66" s="39"/>
    </row>
    <row r="67" spans="4:9" ht="12.75">
      <c r="D67" s="13"/>
      <c r="E67" s="13"/>
      <c r="F67" s="14"/>
      <c r="G67" s="13"/>
      <c r="H67" s="38"/>
      <c r="I67" s="39"/>
    </row>
    <row r="68" spans="4:9" ht="12.75">
      <c r="D68" s="13"/>
      <c r="E68" s="13"/>
      <c r="F68" s="14"/>
      <c r="G68" s="13"/>
      <c r="H68" s="38"/>
      <c r="I68" s="39"/>
    </row>
    <row r="69" spans="4:9" ht="12.75">
      <c r="D69" s="13"/>
      <c r="E69" s="13"/>
      <c r="F69" s="14"/>
      <c r="G69" s="13"/>
      <c r="H69" s="38"/>
      <c r="I69" s="39"/>
    </row>
    <row r="70" spans="4:9" ht="12.75">
      <c r="D70" s="13"/>
      <c r="E70" s="13"/>
      <c r="F70" s="14"/>
      <c r="G70" s="13"/>
      <c r="H70" s="38"/>
      <c r="I70" s="39"/>
    </row>
    <row r="71" spans="4:9" ht="12.75">
      <c r="D71" s="13"/>
      <c r="E71" s="13"/>
      <c r="F71" s="14"/>
      <c r="G71" s="13"/>
      <c r="H71" s="38"/>
      <c r="I71" s="39"/>
    </row>
    <row r="72" spans="4:9" ht="12.75">
      <c r="D72" s="13"/>
      <c r="E72" s="13"/>
      <c r="F72" s="14"/>
      <c r="G72" s="13"/>
      <c r="H72" s="38"/>
      <c r="I72" s="39"/>
    </row>
    <row r="73" spans="4:9" ht="12.75">
      <c r="D73" s="13"/>
      <c r="E73" s="13"/>
      <c r="F73" s="14"/>
      <c r="G73" s="13"/>
      <c r="H73" s="38"/>
      <c r="I73" s="39"/>
    </row>
    <row r="74" spans="4:9" ht="12.75">
      <c r="D74" s="13"/>
      <c r="E74" s="13"/>
      <c r="F74" s="14"/>
      <c r="G74" s="13"/>
      <c r="H74" s="38"/>
      <c r="I74" s="39"/>
    </row>
    <row r="75" spans="4:9" ht="12.75">
      <c r="D75" s="13"/>
      <c r="E75" s="13"/>
      <c r="F75" s="14"/>
      <c r="G75" s="13"/>
      <c r="H75" s="38"/>
      <c r="I75" s="39"/>
    </row>
    <row r="76" spans="4:9" ht="12.75">
      <c r="D76" s="13"/>
      <c r="E76" s="13"/>
      <c r="F76" s="14"/>
      <c r="G76" s="13"/>
      <c r="H76" s="38"/>
      <c r="I76" s="39"/>
    </row>
    <row r="77" spans="4:9" ht="12.75">
      <c r="D77" s="13"/>
      <c r="E77" s="13"/>
      <c r="F77" s="14"/>
      <c r="G77" s="13"/>
      <c r="H77" s="38"/>
      <c r="I77" s="39"/>
    </row>
    <row r="78" spans="4:9" ht="12.75">
      <c r="D78" s="13"/>
      <c r="E78" s="13"/>
      <c r="F78" s="14"/>
      <c r="G78" s="13"/>
      <c r="H78" s="38"/>
      <c r="I78" s="39"/>
    </row>
    <row r="79" spans="4:9" ht="12.75">
      <c r="D79" s="13"/>
      <c r="E79" s="13"/>
      <c r="F79" s="14"/>
      <c r="G79" s="13"/>
      <c r="H79" s="38"/>
      <c r="I79" s="39"/>
    </row>
    <row r="80" spans="4:9" ht="12.75">
      <c r="D80" s="13"/>
      <c r="E80" s="13"/>
      <c r="F80" s="14"/>
      <c r="G80" s="13"/>
      <c r="H80" s="38"/>
      <c r="I80" s="39"/>
    </row>
    <row r="81" spans="4:9" ht="12.75">
      <c r="D81" s="13"/>
      <c r="E81" s="13"/>
      <c r="F81" s="14"/>
      <c r="G81" s="13"/>
      <c r="H81" s="38"/>
      <c r="I81" s="39"/>
    </row>
    <row r="82" spans="4:9" ht="12.75">
      <c r="D82" s="13"/>
      <c r="E82" s="13"/>
      <c r="F82" s="14"/>
      <c r="G82" s="13"/>
      <c r="H82" s="38"/>
      <c r="I82" s="39"/>
    </row>
    <row r="83" spans="4:9" ht="12.75">
      <c r="D83" s="13"/>
      <c r="E83" s="13"/>
      <c r="F83" s="14"/>
      <c r="G83" s="13"/>
      <c r="H83" s="38"/>
      <c r="I83" s="39"/>
    </row>
    <row r="84" spans="4:9" ht="12.75">
      <c r="D84" s="13"/>
      <c r="E84" s="13"/>
      <c r="F84" s="14"/>
      <c r="G84" s="13"/>
      <c r="H84" s="38"/>
      <c r="I84" s="39"/>
    </row>
    <row r="85" spans="4:9" ht="12.75">
      <c r="D85" s="13"/>
      <c r="E85" s="13"/>
      <c r="F85" s="14"/>
      <c r="G85" s="13"/>
      <c r="H85" s="38"/>
      <c r="I85" s="39"/>
    </row>
    <row r="86" spans="4:9" ht="12.75">
      <c r="D86" s="13"/>
      <c r="E86" s="13"/>
      <c r="F86" s="14"/>
      <c r="G86" s="13"/>
      <c r="H86" s="38"/>
      <c r="I86" s="39"/>
    </row>
    <row r="87" spans="4:9" ht="12.75">
      <c r="D87" s="13"/>
      <c r="E87" s="13"/>
      <c r="F87" s="14"/>
      <c r="G87" s="13"/>
      <c r="H87" s="38"/>
      <c r="I87" s="39"/>
    </row>
    <row r="88" spans="4:9" ht="12.75">
      <c r="D88" s="13"/>
      <c r="E88" s="13"/>
      <c r="F88" s="14"/>
      <c r="G88" s="13"/>
      <c r="H88" s="38"/>
      <c r="I88" s="39"/>
    </row>
    <row r="89" spans="4:9" ht="12.75">
      <c r="D89" s="13"/>
      <c r="E89" s="13"/>
      <c r="F89" s="14"/>
      <c r="G89" s="13"/>
      <c r="H89" s="38"/>
      <c r="I89" s="39"/>
    </row>
    <row r="90" spans="4:9" ht="12.75">
      <c r="D90" s="13"/>
      <c r="E90" s="13"/>
      <c r="F90" s="14"/>
      <c r="G90" s="13"/>
      <c r="H90" s="38"/>
      <c r="I90" s="39"/>
    </row>
    <row r="91" spans="4:9" ht="12.75">
      <c r="D91" s="13"/>
      <c r="E91" s="13"/>
      <c r="F91" s="14"/>
      <c r="G91" s="13"/>
      <c r="H91" s="38"/>
      <c r="I91" s="39"/>
    </row>
    <row r="92" spans="4:9" ht="12.75">
      <c r="D92" s="13"/>
      <c r="E92" s="13"/>
      <c r="F92" s="14"/>
      <c r="G92" s="13"/>
      <c r="H92" s="38"/>
      <c r="I92" s="39"/>
    </row>
    <row r="93" spans="4:9" ht="12.75">
      <c r="D93" s="13"/>
      <c r="E93" s="13"/>
      <c r="F93" s="14"/>
      <c r="G93" s="13"/>
      <c r="H93" s="38"/>
      <c r="I93" s="39"/>
    </row>
    <row r="94" spans="4:9" ht="12.75">
      <c r="D94" s="13"/>
      <c r="E94" s="13"/>
      <c r="F94" s="14"/>
      <c r="G94" s="13"/>
      <c r="H94" s="38"/>
      <c r="I94" s="39"/>
    </row>
    <row r="95" spans="4:9" ht="12.75">
      <c r="D95" s="13"/>
      <c r="E95" s="13"/>
      <c r="F95" s="14"/>
      <c r="G95" s="13"/>
      <c r="H95" s="38"/>
      <c r="I95" s="39"/>
    </row>
    <row r="96" spans="4:9" ht="12.75">
      <c r="D96" s="13"/>
      <c r="E96" s="13"/>
      <c r="F96" s="14"/>
      <c r="G96" s="13"/>
      <c r="H96" s="38"/>
      <c r="I96" s="39"/>
    </row>
    <row r="97" spans="4:9" ht="12.75">
      <c r="D97" s="13"/>
      <c r="E97" s="13"/>
      <c r="F97" s="14"/>
      <c r="G97" s="13"/>
      <c r="H97" s="38"/>
      <c r="I97" s="39"/>
    </row>
    <row r="98" spans="4:9" ht="12.75">
      <c r="D98" s="13"/>
      <c r="E98" s="13"/>
      <c r="F98" s="14"/>
      <c r="G98" s="13"/>
      <c r="H98" s="38"/>
      <c r="I98" s="39"/>
    </row>
    <row r="99" spans="4:9" ht="12.75">
      <c r="D99" s="13"/>
      <c r="E99" s="13"/>
      <c r="F99" s="14"/>
      <c r="G99" s="13"/>
      <c r="H99" s="38"/>
      <c r="I99" s="39"/>
    </row>
    <row r="100" spans="4:9" ht="12.75">
      <c r="D100" s="13"/>
      <c r="E100" s="13"/>
      <c r="F100" s="14"/>
      <c r="G100" s="13"/>
      <c r="H100" s="38"/>
      <c r="I100" s="39"/>
    </row>
    <row r="101" spans="4:9" ht="12.75">
      <c r="D101" s="13"/>
      <c r="E101" s="13"/>
      <c r="F101" s="14"/>
      <c r="G101" s="13"/>
      <c r="H101" s="38"/>
      <c r="I101" s="39"/>
    </row>
    <row r="102" spans="4:9" ht="12.75">
      <c r="D102" s="13"/>
      <c r="E102" s="13"/>
      <c r="F102" s="14"/>
      <c r="G102" s="13"/>
      <c r="H102" s="38"/>
      <c r="I102" s="39"/>
    </row>
    <row r="103" spans="4:9" ht="12.75">
      <c r="D103" s="13"/>
      <c r="E103" s="13"/>
      <c r="F103" s="14"/>
      <c r="G103" s="13"/>
      <c r="H103" s="38"/>
      <c r="I103" s="39"/>
    </row>
    <row r="104" spans="4:9" ht="12.75">
      <c r="D104" s="13"/>
      <c r="E104" s="13"/>
      <c r="F104" s="14"/>
      <c r="G104" s="13"/>
      <c r="H104" s="38"/>
      <c r="I104" s="39"/>
    </row>
    <row r="105" spans="4:9" ht="12.75">
      <c r="D105" s="13"/>
      <c r="E105" s="13"/>
      <c r="F105" s="14"/>
      <c r="G105" s="13"/>
      <c r="H105" s="38"/>
      <c r="I105" s="39"/>
    </row>
    <row r="106" spans="4:9" ht="12.75">
      <c r="D106" s="13"/>
      <c r="E106" s="13"/>
      <c r="F106" s="14"/>
      <c r="G106" s="13"/>
      <c r="H106" s="38"/>
      <c r="I106" s="39"/>
    </row>
    <row r="107" spans="4:9" ht="12.75">
      <c r="D107" s="13"/>
      <c r="E107" s="13"/>
      <c r="F107" s="14"/>
      <c r="G107" s="13"/>
      <c r="H107" s="38"/>
      <c r="I107" s="39"/>
    </row>
    <row r="108" spans="4:9" ht="12.75">
      <c r="D108" s="13"/>
      <c r="E108" s="13"/>
      <c r="F108" s="14"/>
      <c r="G108" s="13"/>
      <c r="H108" s="38"/>
      <c r="I108" s="39"/>
    </row>
    <row r="109" spans="4:9" ht="12.75">
      <c r="D109" s="13"/>
      <c r="E109" s="13"/>
      <c r="F109" s="14"/>
      <c r="G109" s="13"/>
      <c r="H109" s="38"/>
      <c r="I109" s="39"/>
    </row>
    <row r="110" spans="4:9" ht="12.75">
      <c r="D110" s="13"/>
      <c r="E110" s="13"/>
      <c r="F110" s="14"/>
      <c r="G110" s="13"/>
      <c r="H110" s="38"/>
      <c r="I110" s="39"/>
    </row>
    <row r="111" spans="4:9" ht="12.75">
      <c r="D111" s="13"/>
      <c r="E111" s="13"/>
      <c r="F111" s="14"/>
      <c r="G111" s="13"/>
      <c r="H111" s="38"/>
      <c r="I111" s="39"/>
    </row>
    <row r="112" spans="4:9" ht="12.75">
      <c r="D112" s="13"/>
      <c r="E112" s="13"/>
      <c r="F112" s="14"/>
      <c r="G112" s="13"/>
      <c r="H112" s="38"/>
      <c r="I112" s="39"/>
    </row>
  </sheetData>
  <printOptions horizontalCentered="1"/>
  <pageMargins left="0.5" right="0.5" top="0" bottom="0" header="0.5" footer="0.5"/>
  <pageSetup horizontalDpi="300" verticalDpi="3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Mike Francis</cp:lastModifiedBy>
  <cp:lastPrinted>2001-11-13T18:34:46Z</cp:lastPrinted>
  <dcterms:created xsi:type="dcterms:W3CDTF">1998-04-21T19:37:14Z</dcterms:created>
  <dcterms:modified xsi:type="dcterms:W3CDTF">2002-03-14T17:04:05Z</dcterms:modified>
  <cp:category/>
  <cp:version/>
  <cp:contentType/>
  <cp:contentStatus/>
</cp:coreProperties>
</file>