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'Sheet1'!$A$1:$K$214</definedName>
  </definedNames>
  <calcPr fullCalcOnLoad="1"/>
</workbook>
</file>

<file path=xl/sharedStrings.xml><?xml version="1.0" encoding="utf-8"?>
<sst xmlns="http://schemas.openxmlformats.org/spreadsheetml/2006/main" count="375" uniqueCount="184">
  <si>
    <t>Flowrate</t>
  </si>
  <si>
    <t>cum./day</t>
  </si>
  <si>
    <t>COD</t>
  </si>
  <si>
    <t>mg./l</t>
  </si>
  <si>
    <t>TKN</t>
  </si>
  <si>
    <t>BOD</t>
  </si>
  <si>
    <t>mg./l.</t>
  </si>
  <si>
    <t>Phosphate</t>
  </si>
  <si>
    <t>FOG</t>
  </si>
  <si>
    <t>COD Load</t>
  </si>
  <si>
    <t>kg./day</t>
  </si>
  <si>
    <t>UASB</t>
  </si>
  <si>
    <t>COD Loading</t>
  </si>
  <si>
    <t>% COD Removed</t>
  </si>
  <si>
    <t>%</t>
  </si>
  <si>
    <t>Removed COD</t>
  </si>
  <si>
    <t>Required TKN</t>
  </si>
  <si>
    <t>Effluent TKN</t>
  </si>
  <si>
    <t>Effluent COD</t>
  </si>
  <si>
    <t>ปริมาณ กาชที่เกิด</t>
  </si>
  <si>
    <t>ลบม./kg.COD Removed</t>
  </si>
  <si>
    <t>ปริมาณ กาชมีเทน</t>
  </si>
  <si>
    <t>ปริมาณตะกอนที่เกิด</t>
  </si>
  <si>
    <t>kg./kg.COD Removed</t>
  </si>
  <si>
    <t>Sizing</t>
  </si>
  <si>
    <t>Diameter</t>
  </si>
  <si>
    <t>m.</t>
  </si>
  <si>
    <t>Freeboard</t>
  </si>
  <si>
    <t>Volume of Tank</t>
  </si>
  <si>
    <t>cum.</t>
  </si>
  <si>
    <t>Total Height</t>
  </si>
  <si>
    <t>Water Depth</t>
  </si>
  <si>
    <t>sqm.</t>
  </si>
  <si>
    <t>Volume of Water</t>
  </si>
  <si>
    <t>Upflow Velocity</t>
  </si>
  <si>
    <t>m./hr.</t>
  </si>
  <si>
    <t>Influent COD</t>
  </si>
  <si>
    <t>NO3(out)</t>
  </si>
  <si>
    <t>Removed NO3-</t>
  </si>
  <si>
    <t>kg.COD/kgNO3</t>
  </si>
  <si>
    <t>COD out</t>
  </si>
  <si>
    <t>TKN in</t>
  </si>
  <si>
    <t>TKN out</t>
  </si>
  <si>
    <t>R(Recycle Ratio)</t>
  </si>
  <si>
    <t xml:space="preserve">TKN in </t>
  </si>
  <si>
    <t>day</t>
  </si>
  <si>
    <t>Aerobic Tank</t>
  </si>
  <si>
    <t>day-1</t>
  </si>
  <si>
    <t>Denitrification &amp; Aeration Tank</t>
  </si>
  <si>
    <t>Produced NO3(by nitri)</t>
  </si>
  <si>
    <t>COD Required (by denitri)</t>
  </si>
  <si>
    <t>COD after Denitrification</t>
  </si>
  <si>
    <t>µm</t>
  </si>
  <si>
    <t>Qc (min)</t>
  </si>
  <si>
    <t>k'</t>
  </si>
  <si>
    <t xml:space="preserve">T </t>
  </si>
  <si>
    <t>°C</t>
  </si>
  <si>
    <t>DO</t>
  </si>
  <si>
    <t>KO2</t>
  </si>
  <si>
    <t>pH</t>
  </si>
  <si>
    <t>µ' m</t>
  </si>
  <si>
    <t>kd</t>
  </si>
  <si>
    <t>Safty Facter</t>
  </si>
  <si>
    <t xml:space="preserve">Qc  </t>
  </si>
  <si>
    <t xml:space="preserve"> </t>
  </si>
  <si>
    <t>Determine the concentration of N</t>
  </si>
  <si>
    <t>kn</t>
  </si>
  <si>
    <t>Determine the BOD</t>
  </si>
  <si>
    <t>Y(bod)</t>
  </si>
  <si>
    <t>kd(bod)</t>
  </si>
  <si>
    <t>kgVSS/kgBOD</t>
  </si>
  <si>
    <t>kgVSS/kg(BOD)</t>
  </si>
  <si>
    <t>S0 (COD in)</t>
  </si>
  <si>
    <t xml:space="preserve">S </t>
  </si>
  <si>
    <t>X (SS)</t>
  </si>
  <si>
    <t>hr.</t>
  </si>
  <si>
    <t>T(BOD)</t>
  </si>
  <si>
    <t>T(n)</t>
  </si>
  <si>
    <t>BOD/TKN</t>
  </si>
  <si>
    <t>Fraction of nitrify</t>
  </si>
  <si>
    <t>N eff(ที่สามารถย่อยได้ต่ำสุด)</t>
  </si>
  <si>
    <t>Oxygen Demand</t>
  </si>
  <si>
    <t>kg./hr.</t>
  </si>
  <si>
    <t>Combine Nitrification Tank</t>
  </si>
  <si>
    <t>X (BOD)</t>
  </si>
  <si>
    <t>X (nitri)</t>
  </si>
  <si>
    <t>Volume (by nitri)</t>
  </si>
  <si>
    <t>Volume (by BOD)</t>
  </si>
  <si>
    <t>Volume use</t>
  </si>
  <si>
    <t>U nitri</t>
  </si>
  <si>
    <t>U BOD</t>
  </si>
  <si>
    <t>X denitri</t>
  </si>
  <si>
    <t>Udn</t>
  </si>
  <si>
    <t>Tdn</t>
  </si>
  <si>
    <t>Y nitri</t>
  </si>
  <si>
    <t>Required Volume</t>
  </si>
  <si>
    <t>Sedimentation Tank</t>
  </si>
  <si>
    <t>cum./hr.</t>
  </si>
  <si>
    <t>SOR</t>
  </si>
  <si>
    <t>Area Required</t>
  </si>
  <si>
    <t>Use</t>
  </si>
  <si>
    <t>Water Height</t>
  </si>
  <si>
    <t>Width</t>
  </si>
  <si>
    <t>Length</t>
  </si>
  <si>
    <t>Recycle Ratio</t>
  </si>
  <si>
    <t xml:space="preserve">Max.Flowrate </t>
  </si>
  <si>
    <t>Height</t>
  </si>
  <si>
    <t>Water Volume</t>
  </si>
  <si>
    <t>Tank Volume</t>
  </si>
  <si>
    <t>Denitification Tank 1</t>
  </si>
  <si>
    <t>Detention Time</t>
  </si>
  <si>
    <t>Hr.</t>
  </si>
  <si>
    <t>Volume Required</t>
  </si>
  <si>
    <t>Depth of Wastewater</t>
  </si>
  <si>
    <t>Volume of Wastewater</t>
  </si>
  <si>
    <t>Equalization Tank 1</t>
  </si>
  <si>
    <t>Presedimentation Tank</t>
  </si>
  <si>
    <t>Quantity</t>
  </si>
  <si>
    <t>unit</t>
  </si>
  <si>
    <t>Surface Overflow Rate</t>
  </si>
  <si>
    <t>m./Hr.</t>
  </si>
  <si>
    <t>Total Projected Area (Required)</t>
  </si>
  <si>
    <t>sq.m.</t>
  </si>
  <si>
    <t>Plate Dimension</t>
  </si>
  <si>
    <t>Inclined Angle</t>
  </si>
  <si>
    <t>Deg</t>
  </si>
  <si>
    <t>Horizantal Projected Area</t>
  </si>
  <si>
    <t>Total No. of Plate (required)</t>
  </si>
  <si>
    <t>pcs.</t>
  </si>
  <si>
    <t>No. of plate (using)</t>
  </si>
  <si>
    <t>Total Progected Area</t>
  </si>
  <si>
    <t>Plate Spacing</t>
  </si>
  <si>
    <t>cm.</t>
  </si>
  <si>
    <t>Plate Spacing (Hor. Direction)</t>
  </si>
  <si>
    <t>Width of Tank(required ,from calculation)</t>
  </si>
  <si>
    <t>Lenght of Tank(required ,from calculation)</t>
  </si>
  <si>
    <t>Width of Tank(using)</t>
  </si>
  <si>
    <t>Length of Tank(Using)</t>
  </si>
  <si>
    <t>Actual Surface Overflow Rate</t>
  </si>
  <si>
    <t>Head of Tank</t>
  </si>
  <si>
    <t>Inclined</t>
  </si>
  <si>
    <t>Cone</t>
  </si>
  <si>
    <t>Liftings</t>
  </si>
  <si>
    <t>Total Head</t>
  </si>
  <si>
    <t>Total Width</t>
  </si>
  <si>
    <t>Total Length</t>
  </si>
  <si>
    <t>Efficiency of Removing</t>
  </si>
  <si>
    <t xml:space="preserve"> %</t>
  </si>
  <si>
    <t>Influent</t>
  </si>
  <si>
    <t>Effluent</t>
  </si>
  <si>
    <t>Equalization Tank 2</t>
  </si>
  <si>
    <t>Actual Detention Time</t>
  </si>
  <si>
    <t>กรณ๊ที่วนน้ำหลังการบำบัดไปผสมกับน้ำเสียใน Equalization Tank 2</t>
  </si>
  <si>
    <t>Flowrate ที่สามารถวนได้</t>
  </si>
  <si>
    <t xml:space="preserve">TKN </t>
  </si>
  <si>
    <t>SS</t>
  </si>
  <si>
    <t>รายการคำนวณระบบบำบัดน้ำเสีย</t>
  </si>
  <si>
    <t>ลักษณะของน้ำเสียที่ใช้ในการออกแบบ</t>
  </si>
  <si>
    <t>Oxygen transfer Rape</t>
  </si>
  <si>
    <t>kg.O2/kw/hr</t>
  </si>
  <si>
    <t>Total Oxygen Supply</t>
  </si>
  <si>
    <t>kg.o2/hr.</t>
  </si>
  <si>
    <t>Use lowspeed Surface Aerator</t>
  </si>
  <si>
    <t>kw.</t>
  </si>
  <si>
    <t>set</t>
  </si>
  <si>
    <t>Tank Dimension</t>
  </si>
  <si>
    <t>(&gt;331 cum.)</t>
  </si>
  <si>
    <t>งานเจาะรูท่อกระจายน้ำเข้า</t>
  </si>
  <si>
    <t>Flowrate Recycle</t>
  </si>
  <si>
    <t>Flowrate น้ำเสีย</t>
  </si>
  <si>
    <t>Flowrate รวม</t>
  </si>
  <si>
    <t>ความเร็วตอนออกจากรู</t>
  </si>
  <si>
    <t>m./sec</t>
  </si>
  <si>
    <t>cum./hr</t>
  </si>
  <si>
    <t>Area รวมของรูทั้งหมด</t>
  </si>
  <si>
    <t>sq.cm.</t>
  </si>
  <si>
    <t xml:space="preserve">รูเจาะขนาด </t>
  </si>
  <si>
    <t>Aera ของรู</t>
  </si>
  <si>
    <t>จำนวนรู</t>
  </si>
  <si>
    <t>รู</t>
  </si>
  <si>
    <t>ความยาวท่อกระจายทั้งหมด</t>
  </si>
  <si>
    <t xml:space="preserve">m. </t>
  </si>
  <si>
    <t>ระยะระหว่างรู</t>
  </si>
  <si>
    <t>ท่อเจาะรู Recycle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</si>
</sst>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9">
    <font>
      <sz val="10"/>
      <name val="Arial"/>
      <family val="0"/>
    </font>
    <font>
      <sz val="8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ordiaUPC"/>
      <family val="2"/>
    </font>
    <font>
      <b/>
      <sz val="18"/>
      <name val="CordiaUPC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3" max="3" width="15.8515625" style="0" customWidth="1"/>
    <col min="5" max="5" width="2.421875" style="0" customWidth="1"/>
    <col min="7" max="8" width="5.140625" style="0" customWidth="1"/>
    <col min="10" max="10" width="3.421875" style="0" customWidth="1"/>
  </cols>
  <sheetData>
    <row r="1" spans="1:11" ht="2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26.25">
      <c r="B2" s="7" t="s">
        <v>156</v>
      </c>
      <c r="C2" s="6"/>
      <c r="D2" s="6"/>
      <c r="E2" s="6"/>
      <c r="F2" s="6"/>
      <c r="G2" s="6"/>
      <c r="H2" s="6"/>
      <c r="I2" s="6"/>
      <c r="J2" s="6"/>
      <c r="K2" s="6"/>
    </row>
    <row r="3" ht="12.75" customHeight="1"/>
    <row r="4" ht="19.5" customHeight="1">
      <c r="A4" s="1" t="s">
        <v>157</v>
      </c>
    </row>
    <row r="5" spans="1:6" ht="12.75" customHeight="1">
      <c r="A5" t="s">
        <v>0</v>
      </c>
      <c r="D5">
        <v>1000</v>
      </c>
      <c r="F5" t="s">
        <v>1</v>
      </c>
    </row>
    <row r="6" spans="1:6" ht="12.75" customHeight="1">
      <c r="A6" t="s">
        <v>2</v>
      </c>
      <c r="D6">
        <v>5000</v>
      </c>
      <c r="F6" t="s">
        <v>3</v>
      </c>
    </row>
    <row r="7" spans="1:6" ht="12.75" customHeight="1">
      <c r="A7" t="s">
        <v>5</v>
      </c>
      <c r="D7">
        <v>4000</v>
      </c>
      <c r="F7" t="s">
        <v>6</v>
      </c>
    </row>
    <row r="8" spans="1:6" ht="12.75" customHeight="1">
      <c r="A8" t="s">
        <v>4</v>
      </c>
      <c r="D8">
        <v>400</v>
      </c>
      <c r="F8" t="s">
        <v>6</v>
      </c>
    </row>
    <row r="9" spans="1:6" ht="12.75" customHeight="1">
      <c r="A9" t="s">
        <v>7</v>
      </c>
      <c r="D9">
        <v>18</v>
      </c>
      <c r="F9" t="s">
        <v>6</v>
      </c>
    </row>
    <row r="10" spans="1:6" ht="12.75" customHeight="1">
      <c r="A10" t="s">
        <v>8</v>
      </c>
      <c r="D10">
        <v>400</v>
      </c>
      <c r="F10" t="s">
        <v>6</v>
      </c>
    </row>
    <row r="11" spans="1:6" ht="12.75" customHeight="1">
      <c r="A11" t="s">
        <v>9</v>
      </c>
      <c r="D11">
        <v>5000</v>
      </c>
      <c r="F11" t="s">
        <v>10</v>
      </c>
    </row>
    <row r="12" spans="1:6" ht="12.75" customHeight="1">
      <c r="A12" t="s">
        <v>155</v>
      </c>
      <c r="D12">
        <v>700</v>
      </c>
      <c r="F12" t="s">
        <v>6</v>
      </c>
    </row>
    <row r="13" ht="12.75" customHeight="1"/>
    <row r="14" ht="19.5" customHeight="1">
      <c r="A14" s="5" t="s">
        <v>115</v>
      </c>
    </row>
    <row r="15" spans="1:6" ht="12.75" customHeight="1">
      <c r="A15" t="s">
        <v>110</v>
      </c>
      <c r="D15">
        <v>5</v>
      </c>
      <c r="F15" t="s">
        <v>111</v>
      </c>
    </row>
    <row r="16" spans="1:6" ht="12.75" customHeight="1">
      <c r="A16" t="s">
        <v>112</v>
      </c>
      <c r="D16">
        <f>D5/24*D15</f>
        <v>208.33333333333331</v>
      </c>
      <c r="F16" t="s">
        <v>29</v>
      </c>
    </row>
    <row r="17" spans="1:6" ht="12.75" customHeight="1">
      <c r="A17" t="s">
        <v>102</v>
      </c>
      <c r="D17">
        <v>10</v>
      </c>
      <c r="F17" t="s">
        <v>26</v>
      </c>
    </row>
    <row r="18" spans="1:6" ht="12.75" customHeight="1">
      <c r="A18" t="s">
        <v>103</v>
      </c>
      <c r="D18">
        <v>12</v>
      </c>
      <c r="F18" t="s">
        <v>26</v>
      </c>
    </row>
    <row r="19" spans="1:6" ht="12.75" customHeight="1">
      <c r="A19" t="s">
        <v>30</v>
      </c>
      <c r="D19">
        <v>2.2</v>
      </c>
      <c r="F19" t="s">
        <v>26</v>
      </c>
    </row>
    <row r="20" spans="1:6" ht="12.75" customHeight="1">
      <c r="A20" t="s">
        <v>27</v>
      </c>
      <c r="D20">
        <v>0.25</v>
      </c>
      <c r="F20" t="s">
        <v>26</v>
      </c>
    </row>
    <row r="21" spans="1:6" ht="12.75" customHeight="1">
      <c r="A21" t="s">
        <v>113</v>
      </c>
      <c r="D21">
        <f>D19-D20</f>
        <v>1.9500000000000002</v>
      </c>
      <c r="F21" t="s">
        <v>26</v>
      </c>
    </row>
    <row r="22" spans="1:6" ht="12.75" customHeight="1">
      <c r="A22" t="s">
        <v>28</v>
      </c>
      <c r="D22">
        <f>D17*D18*D19</f>
        <v>264</v>
      </c>
      <c r="F22" t="s">
        <v>29</v>
      </c>
    </row>
    <row r="23" spans="1:6" ht="12.75" customHeight="1">
      <c r="A23" t="s">
        <v>114</v>
      </c>
      <c r="D23">
        <f>D17*D18*D21</f>
        <v>234.00000000000003</v>
      </c>
      <c r="F23" t="s">
        <v>29</v>
      </c>
    </row>
    <row r="24" spans="1:6" ht="12.75" customHeight="1">
      <c r="A24" t="s">
        <v>151</v>
      </c>
      <c r="D24">
        <f>D23/(D5/24)</f>
        <v>5.616000000000001</v>
      </c>
      <c r="F24" t="s">
        <v>75</v>
      </c>
    </row>
    <row r="25" ht="12.75" customHeight="1"/>
    <row r="26" ht="19.5" customHeight="1">
      <c r="A26" s="1" t="s">
        <v>116</v>
      </c>
    </row>
    <row r="27" spans="1:6" ht="12.75" customHeight="1">
      <c r="A27" t="s">
        <v>117</v>
      </c>
      <c r="D27">
        <v>1</v>
      </c>
      <c r="F27" t="s">
        <v>118</v>
      </c>
    </row>
    <row r="28" spans="1:6" ht="12.75" customHeight="1">
      <c r="A28" t="s">
        <v>0</v>
      </c>
      <c r="D28">
        <f>D5/16</f>
        <v>62.5</v>
      </c>
      <c r="F28" t="s">
        <v>29</v>
      </c>
    </row>
    <row r="29" spans="1:6" ht="12.75" customHeight="1">
      <c r="A29" t="s">
        <v>119</v>
      </c>
      <c r="D29">
        <v>0.65</v>
      </c>
      <c r="F29" t="s">
        <v>120</v>
      </c>
    </row>
    <row r="30" spans="1:6" ht="12.75" customHeight="1">
      <c r="A30" t="s">
        <v>121</v>
      </c>
      <c r="D30">
        <f>D28/D29</f>
        <v>96.15384615384615</v>
      </c>
      <c r="F30" t="s">
        <v>122</v>
      </c>
    </row>
    <row r="31" ht="12.75" customHeight="1">
      <c r="A31" t="s">
        <v>123</v>
      </c>
    </row>
    <row r="32" spans="3:6" ht="12.75" customHeight="1">
      <c r="C32" t="s">
        <v>102</v>
      </c>
      <c r="D32">
        <v>1.1</v>
      </c>
      <c r="F32" t="s">
        <v>26</v>
      </c>
    </row>
    <row r="33" spans="3:6" ht="12.75" customHeight="1">
      <c r="C33" t="s">
        <v>103</v>
      </c>
      <c r="D33">
        <v>2.43</v>
      </c>
      <c r="F33" t="s">
        <v>26</v>
      </c>
    </row>
    <row r="34" spans="1:6" ht="12.75" customHeight="1">
      <c r="A34" t="s">
        <v>124</v>
      </c>
      <c r="D34">
        <v>55</v>
      </c>
      <c r="F34" t="s">
        <v>125</v>
      </c>
    </row>
    <row r="35" spans="1:6" ht="12.75" customHeight="1">
      <c r="A35" t="s">
        <v>126</v>
      </c>
      <c r="D35">
        <f>D32*D33*COS(PI()*D34/180)</f>
        <v>1.5331698143663466</v>
      </c>
      <c r="F35" t="s">
        <v>122</v>
      </c>
    </row>
    <row r="36" spans="1:6" ht="12.75" customHeight="1">
      <c r="A36" t="s">
        <v>127</v>
      </c>
      <c r="D36">
        <f>D30/D35</f>
        <v>62.71571828042165</v>
      </c>
      <c r="F36" t="s">
        <v>128</v>
      </c>
    </row>
    <row r="37" spans="1:6" ht="12.75" customHeight="1">
      <c r="A37" t="s">
        <v>129</v>
      </c>
      <c r="D37">
        <v>62</v>
      </c>
      <c r="F37" t="s">
        <v>128</v>
      </c>
    </row>
    <row r="38" spans="1:6" ht="12.75" customHeight="1">
      <c r="A38" t="s">
        <v>130</v>
      </c>
      <c r="D38">
        <f>D37*D35</f>
        <v>95.05652849071349</v>
      </c>
      <c r="F38" t="s">
        <v>32</v>
      </c>
    </row>
    <row r="39" spans="1:6" ht="12.75" customHeight="1">
      <c r="A39" t="s">
        <v>131</v>
      </c>
      <c r="D39">
        <v>7.4</v>
      </c>
      <c r="F39" t="s">
        <v>132</v>
      </c>
    </row>
    <row r="40" spans="1:6" ht="12.75" customHeight="1">
      <c r="A40" t="s">
        <v>133</v>
      </c>
      <c r="D40">
        <f>D39/(SIN(55*PI()/180))</f>
        <v>9.033731956834774</v>
      </c>
      <c r="F40" t="s">
        <v>132</v>
      </c>
    </row>
    <row r="41" spans="1:6" ht="12.75" customHeight="1">
      <c r="A41" t="s">
        <v>134</v>
      </c>
      <c r="D41">
        <f>2*D32+0.6</f>
        <v>2.8000000000000003</v>
      </c>
      <c r="F41" t="s">
        <v>26</v>
      </c>
    </row>
    <row r="42" spans="1:6" ht="12.75" customHeight="1">
      <c r="A42" t="s">
        <v>135</v>
      </c>
      <c r="D42">
        <f>D40*(D37/2)/100</f>
        <v>2.8004569066187797</v>
      </c>
      <c r="F42" t="s">
        <v>26</v>
      </c>
    </row>
    <row r="43" spans="1:6" ht="12.75" customHeight="1">
      <c r="A43" t="s">
        <v>136</v>
      </c>
      <c r="D43">
        <v>2.8</v>
      </c>
      <c r="F43" t="s">
        <v>26</v>
      </c>
    </row>
    <row r="44" spans="1:6" ht="12.75" customHeight="1">
      <c r="A44" t="s">
        <v>137</v>
      </c>
      <c r="D44">
        <v>2.8</v>
      </c>
      <c r="F44" t="s">
        <v>26</v>
      </c>
    </row>
    <row r="45" spans="1:6" ht="12.75" customHeight="1">
      <c r="A45" t="s">
        <v>138</v>
      </c>
      <c r="D45">
        <f>D28/(D35*D37)</f>
        <v>0.6575034981011947</v>
      </c>
      <c r="F45" t="s">
        <v>120</v>
      </c>
    </row>
    <row r="46" spans="1:6" ht="12.75" customHeight="1">
      <c r="A46" t="s">
        <v>139</v>
      </c>
      <c r="B46" t="s">
        <v>140</v>
      </c>
      <c r="D46">
        <f>0.5+SIN(PI()*D34/180)*D33</f>
        <v>2.4905394676222503</v>
      </c>
      <c r="F46" t="s">
        <v>26</v>
      </c>
    </row>
    <row r="47" spans="2:6" ht="12.75" customHeight="1">
      <c r="B47" t="s">
        <v>141</v>
      </c>
      <c r="D47">
        <f>1+(D43/2/TAN(30*PI()/180))</f>
        <v>3.4248711305964283</v>
      </c>
      <c r="F47" t="s">
        <v>26</v>
      </c>
    </row>
    <row r="48" spans="2:6" ht="12.75" customHeight="1">
      <c r="B48" t="s">
        <v>142</v>
      </c>
      <c r="D48">
        <v>0.4</v>
      </c>
      <c r="F48" t="s">
        <v>26</v>
      </c>
    </row>
    <row r="49" spans="2:6" ht="12.75" customHeight="1">
      <c r="B49" t="s">
        <v>143</v>
      </c>
      <c r="D49">
        <f>SUM(D46:D48)</f>
        <v>6.315410598218679</v>
      </c>
      <c r="F49" t="s">
        <v>26</v>
      </c>
    </row>
    <row r="50" spans="1:6" ht="12.75" customHeight="1">
      <c r="A50" t="s">
        <v>144</v>
      </c>
      <c r="D50">
        <f>D43+0.4</f>
        <v>3.1999999999999997</v>
      </c>
      <c r="F50" t="s">
        <v>26</v>
      </c>
    </row>
    <row r="51" spans="1:6" ht="12.75" customHeight="1">
      <c r="A51" t="s">
        <v>145</v>
      </c>
      <c r="D51">
        <f>D44+(COS(55*PI()/180)*D33)+0.3</f>
        <v>4.493790740333042</v>
      </c>
      <c r="F51" t="s">
        <v>26</v>
      </c>
    </row>
    <row r="52" ht="12.75" customHeight="1"/>
    <row r="53" spans="1:6" ht="12.75" customHeight="1">
      <c r="A53" t="s">
        <v>146</v>
      </c>
      <c r="D53">
        <v>20</v>
      </c>
      <c r="F53" t="s">
        <v>147</v>
      </c>
    </row>
    <row r="54" spans="4:7" ht="12.75" customHeight="1">
      <c r="D54" t="s">
        <v>148</v>
      </c>
      <c r="G54" t="s">
        <v>149</v>
      </c>
    </row>
    <row r="55" spans="1:10" ht="12.75" customHeight="1">
      <c r="A55" t="s">
        <v>2</v>
      </c>
      <c r="B55" t="s">
        <v>6</v>
      </c>
      <c r="C55" t="s">
        <v>64</v>
      </c>
      <c r="D55">
        <f>D6</f>
        <v>5000</v>
      </c>
      <c r="F55" t="s">
        <v>64</v>
      </c>
      <c r="G55">
        <f>D55*(1-D53/100)</f>
        <v>4000</v>
      </c>
      <c r="J55" t="s">
        <v>64</v>
      </c>
    </row>
    <row r="56" spans="1:7" ht="12.75" customHeight="1">
      <c r="A56" t="s">
        <v>5</v>
      </c>
      <c r="B56" t="s">
        <v>6</v>
      </c>
      <c r="D56">
        <f>D7</f>
        <v>4000</v>
      </c>
      <c r="F56" t="s">
        <v>64</v>
      </c>
      <c r="G56">
        <f>D56*(1-D53/100)</f>
        <v>3200</v>
      </c>
    </row>
    <row r="57" spans="1:7" ht="12.75" customHeight="1">
      <c r="A57" t="s">
        <v>4</v>
      </c>
      <c r="B57" t="s">
        <v>6</v>
      </c>
      <c r="D57">
        <f>D8</f>
        <v>400</v>
      </c>
      <c r="F57" t="s">
        <v>64</v>
      </c>
      <c r="G57">
        <f>D57*(1-D53/100)</f>
        <v>320</v>
      </c>
    </row>
    <row r="58" spans="1:7" ht="12.75" customHeight="1">
      <c r="A58" t="s">
        <v>8</v>
      </c>
      <c r="B58" t="s">
        <v>6</v>
      </c>
      <c r="D58">
        <f>D10</f>
        <v>400</v>
      </c>
      <c r="F58" t="s">
        <v>64</v>
      </c>
      <c r="G58">
        <f>D58*(1-D53/100)</f>
        <v>320</v>
      </c>
    </row>
    <row r="59" ht="12.75" customHeight="1"/>
    <row r="60" ht="19.5" customHeight="1">
      <c r="A60" s="1" t="s">
        <v>150</v>
      </c>
    </row>
    <row r="61" spans="1:6" ht="12.75" customHeight="1">
      <c r="A61" t="s">
        <v>110</v>
      </c>
      <c r="D61">
        <v>3.5</v>
      </c>
      <c r="F61" t="s">
        <v>111</v>
      </c>
    </row>
    <row r="62" spans="1:6" ht="12.75" customHeight="1">
      <c r="A62" t="s">
        <v>112</v>
      </c>
      <c r="D62">
        <f>D61*D5/24</f>
        <v>145.83333333333334</v>
      </c>
      <c r="F62" t="s">
        <v>29</v>
      </c>
    </row>
    <row r="63" spans="1:6" ht="12.75" customHeight="1">
      <c r="A63" t="s">
        <v>25</v>
      </c>
      <c r="D63">
        <v>8</v>
      </c>
      <c r="F63" t="s">
        <v>26</v>
      </c>
    </row>
    <row r="64" spans="1:6" ht="12.75" customHeight="1">
      <c r="A64" t="s">
        <v>106</v>
      </c>
      <c r="D64">
        <v>3.3</v>
      </c>
      <c r="F64" t="s">
        <v>26</v>
      </c>
    </row>
    <row r="65" spans="1:6" ht="12.75" customHeight="1">
      <c r="A65" t="s">
        <v>27</v>
      </c>
      <c r="D65">
        <v>0.2</v>
      </c>
      <c r="F65" t="s">
        <v>26</v>
      </c>
    </row>
    <row r="66" spans="1:6" ht="12.75" customHeight="1">
      <c r="A66" t="s">
        <v>101</v>
      </c>
      <c r="D66">
        <f>D64-D65</f>
        <v>3.0999999999999996</v>
      </c>
      <c r="F66" t="s">
        <v>26</v>
      </c>
    </row>
    <row r="67" spans="1:6" ht="12.75" customHeight="1">
      <c r="A67" t="s">
        <v>108</v>
      </c>
      <c r="D67">
        <f>PI()*D63^2/4*D64</f>
        <v>165.87609210954108</v>
      </c>
      <c r="F67" t="s">
        <v>29</v>
      </c>
    </row>
    <row r="68" spans="1:6" ht="12.75" customHeight="1">
      <c r="A68" t="s">
        <v>107</v>
      </c>
      <c r="D68">
        <f>PI()*D63^2/4*D66</f>
        <v>155.8229956180537</v>
      </c>
      <c r="F68" t="s">
        <v>29</v>
      </c>
    </row>
    <row r="69" spans="1:6" ht="12.75" customHeight="1">
      <c r="A69" t="s">
        <v>151</v>
      </c>
      <c r="D69">
        <f>D68/(D5/24)</f>
        <v>3.7397518948332893</v>
      </c>
      <c r="F69" t="s">
        <v>75</v>
      </c>
    </row>
    <row r="70" ht="12.75" customHeight="1"/>
    <row r="71" ht="20.25" customHeight="1">
      <c r="A71" s="1" t="s">
        <v>11</v>
      </c>
    </row>
    <row r="72" spans="1:6" ht="12.75" customHeight="1">
      <c r="A72" t="s">
        <v>9</v>
      </c>
      <c r="D72">
        <f>G55*D5/1000</f>
        <v>4000</v>
      </c>
      <c r="F72" t="s">
        <v>10</v>
      </c>
    </row>
    <row r="73" spans="1:6" ht="12.75" customHeight="1">
      <c r="A73" t="s">
        <v>12</v>
      </c>
      <c r="D73">
        <v>5</v>
      </c>
      <c r="F73" t="s">
        <v>10</v>
      </c>
    </row>
    <row r="74" spans="1:6" ht="12.75" customHeight="1">
      <c r="A74" t="s">
        <v>95</v>
      </c>
      <c r="D74">
        <f>D72/D73</f>
        <v>800</v>
      </c>
      <c r="F74" t="s">
        <v>29</v>
      </c>
    </row>
    <row r="75" spans="1:6" ht="12.75" customHeight="1">
      <c r="A75" t="s">
        <v>13</v>
      </c>
      <c r="D75">
        <v>70</v>
      </c>
      <c r="F75" t="s">
        <v>14</v>
      </c>
    </row>
    <row r="76" spans="1:11" ht="12.75" customHeight="1">
      <c r="A76" t="s">
        <v>15</v>
      </c>
      <c r="D76">
        <f>D72*(D75/100)</f>
        <v>2800</v>
      </c>
      <c r="F76" t="s">
        <v>3</v>
      </c>
      <c r="I76">
        <f>D76*D5/1000</f>
        <v>2800</v>
      </c>
      <c r="K76" t="s">
        <v>10</v>
      </c>
    </row>
    <row r="77" spans="1:11" ht="12.75" customHeight="1">
      <c r="A77" t="s">
        <v>16</v>
      </c>
      <c r="D77">
        <f>D76*5/500</f>
        <v>28</v>
      </c>
      <c r="F77" t="s">
        <v>3</v>
      </c>
      <c r="I77">
        <f>D77*D5/1000</f>
        <v>28</v>
      </c>
      <c r="K77" t="s">
        <v>10</v>
      </c>
    </row>
    <row r="78" spans="1:6" ht="12.75" customHeight="1">
      <c r="A78" t="s">
        <v>17</v>
      </c>
      <c r="D78">
        <f>G57-D77</f>
        <v>292</v>
      </c>
      <c r="F78" t="s">
        <v>6</v>
      </c>
    </row>
    <row r="79" spans="1:6" ht="12.75" customHeight="1">
      <c r="A79" t="s">
        <v>18</v>
      </c>
      <c r="D79">
        <f>G55*(1-D75/100)</f>
        <v>1200.0000000000002</v>
      </c>
      <c r="F79" t="s">
        <v>3</v>
      </c>
    </row>
    <row r="80" spans="1:11" ht="12.75" customHeight="1">
      <c r="A80" t="s">
        <v>19</v>
      </c>
      <c r="D80">
        <v>0.5</v>
      </c>
      <c r="F80" t="s">
        <v>20</v>
      </c>
      <c r="I80">
        <f>D80*D76</f>
        <v>1400</v>
      </c>
      <c r="K80" t="s">
        <v>1</v>
      </c>
    </row>
    <row r="81" spans="1:11" ht="12.75" customHeight="1">
      <c r="A81" t="s">
        <v>21</v>
      </c>
      <c r="D81">
        <v>0.35</v>
      </c>
      <c r="F81" t="s">
        <v>20</v>
      </c>
      <c r="I81">
        <f>D81*D76</f>
        <v>979.9999999999999</v>
      </c>
      <c r="K81" t="s">
        <v>1</v>
      </c>
    </row>
    <row r="82" spans="1:11" ht="12.75" customHeight="1">
      <c r="A82" t="s">
        <v>22</v>
      </c>
      <c r="D82">
        <v>0.05</v>
      </c>
      <c r="F82" t="s">
        <v>23</v>
      </c>
      <c r="I82">
        <f>D82*D76</f>
        <v>140</v>
      </c>
      <c r="K82" t="s">
        <v>10</v>
      </c>
    </row>
    <row r="83" ht="12.75" customHeight="1">
      <c r="A83" t="s">
        <v>24</v>
      </c>
    </row>
    <row r="84" spans="2:5" ht="12.75" customHeight="1">
      <c r="B84" t="s">
        <v>102</v>
      </c>
      <c r="C84">
        <v>10.22</v>
      </c>
      <c r="E84" t="s">
        <v>26</v>
      </c>
    </row>
    <row r="85" spans="2:5" ht="12.75" customHeight="1">
      <c r="B85" t="s">
        <v>103</v>
      </c>
      <c r="C85">
        <v>12</v>
      </c>
      <c r="E85" t="s">
        <v>26</v>
      </c>
    </row>
    <row r="86" spans="2:5" ht="12.75" customHeight="1">
      <c r="B86" t="s">
        <v>30</v>
      </c>
      <c r="C86">
        <v>7.5</v>
      </c>
      <c r="E86" t="s">
        <v>26</v>
      </c>
    </row>
    <row r="87" spans="2:5" ht="12.75" customHeight="1">
      <c r="B87" t="s">
        <v>27</v>
      </c>
      <c r="C87">
        <v>0.45</v>
      </c>
      <c r="E87" t="s">
        <v>26</v>
      </c>
    </row>
    <row r="88" spans="1:11" ht="12.75" customHeight="1">
      <c r="A88" t="s">
        <v>31</v>
      </c>
      <c r="D88">
        <f>C86-C87</f>
        <v>7.05</v>
      </c>
      <c r="F88" t="s">
        <v>26</v>
      </c>
      <c r="I88" t="s">
        <v>64</v>
      </c>
      <c r="K88" t="s">
        <v>64</v>
      </c>
    </row>
    <row r="89" spans="1:11" ht="12.75" customHeight="1">
      <c r="A89" t="s">
        <v>28</v>
      </c>
      <c r="D89">
        <f>C84*C85*C86</f>
        <v>919.8000000000001</v>
      </c>
      <c r="F89" t="s">
        <v>32</v>
      </c>
      <c r="I89" t="s">
        <v>64</v>
      </c>
      <c r="K89" t="s">
        <v>64</v>
      </c>
    </row>
    <row r="90" spans="1:11" ht="12.75" customHeight="1">
      <c r="A90" t="s">
        <v>33</v>
      </c>
      <c r="D90">
        <f>C84*C85*D88</f>
        <v>864.6120000000001</v>
      </c>
      <c r="F90" t="s">
        <v>32</v>
      </c>
      <c r="I90" t="s">
        <v>64</v>
      </c>
      <c r="K90" t="s">
        <v>64</v>
      </c>
    </row>
    <row r="91" spans="1:11" ht="12.75" customHeight="1">
      <c r="A91" t="s">
        <v>34</v>
      </c>
      <c r="D91">
        <f>D5/24/C84/C85</f>
        <v>0.3397477712546206</v>
      </c>
      <c r="F91" t="s">
        <v>35</v>
      </c>
      <c r="I91" t="s">
        <v>64</v>
      </c>
      <c r="K91" t="s">
        <v>64</v>
      </c>
    </row>
    <row r="92" ht="12.75" customHeight="1"/>
    <row r="93" spans="1:6" ht="12.75" customHeight="1">
      <c r="A93" s="8" t="s">
        <v>167</v>
      </c>
      <c r="B93" s="8"/>
      <c r="C93" s="8"/>
      <c r="D93" s="8"/>
      <c r="E93" s="8"/>
      <c r="F93" s="8"/>
    </row>
    <row r="94" spans="1:6" ht="12.75" customHeight="1">
      <c r="A94" s="8" t="s">
        <v>168</v>
      </c>
      <c r="B94" s="8"/>
      <c r="C94" s="8"/>
      <c r="D94" s="8">
        <f>D5/24</f>
        <v>41.666666666666664</v>
      </c>
      <c r="E94" s="8"/>
      <c r="F94" s="8" t="s">
        <v>173</v>
      </c>
    </row>
    <row r="95" spans="1:6" ht="12.75" customHeight="1">
      <c r="A95" s="8" t="s">
        <v>169</v>
      </c>
      <c r="B95" s="8"/>
      <c r="C95" s="8"/>
      <c r="D95" s="8">
        <f>D94</f>
        <v>41.666666666666664</v>
      </c>
      <c r="E95" s="8"/>
      <c r="F95" s="8" t="s">
        <v>173</v>
      </c>
    </row>
    <row r="96" spans="1:6" ht="12.75" customHeight="1">
      <c r="A96" s="8" t="s">
        <v>170</v>
      </c>
      <c r="B96" s="8"/>
      <c r="C96" s="8"/>
      <c r="D96" s="8">
        <f>D95+D94</f>
        <v>83.33333333333333</v>
      </c>
      <c r="E96" s="8"/>
      <c r="F96" s="8" t="s">
        <v>173</v>
      </c>
    </row>
    <row r="97" spans="1:6" ht="12.75" customHeight="1">
      <c r="A97" s="8" t="s">
        <v>171</v>
      </c>
      <c r="B97" s="8"/>
      <c r="C97" s="8"/>
      <c r="D97" s="8">
        <v>2</v>
      </c>
      <c r="E97" s="8"/>
      <c r="F97" s="8" t="s">
        <v>172</v>
      </c>
    </row>
    <row r="98" spans="1:6" ht="12.75" customHeight="1">
      <c r="A98" s="8" t="s">
        <v>174</v>
      </c>
      <c r="B98" s="8"/>
      <c r="C98" s="8"/>
      <c r="D98" s="8">
        <f>D96/3600/D97</f>
        <v>0.011574074074074073</v>
      </c>
      <c r="E98" s="8"/>
      <c r="F98" s="8" t="s">
        <v>32</v>
      </c>
    </row>
    <row r="99" spans="1:6" ht="12.75" customHeight="1">
      <c r="A99" s="8"/>
      <c r="B99" s="8"/>
      <c r="C99" s="8"/>
      <c r="D99" s="8">
        <f>D98*10000</f>
        <v>115.74074074074073</v>
      </c>
      <c r="E99" s="8"/>
      <c r="F99" s="8" t="s">
        <v>175</v>
      </c>
    </row>
    <row r="100" spans="1:6" ht="12.75" customHeight="1">
      <c r="A100" s="8" t="s">
        <v>176</v>
      </c>
      <c r="B100" s="8"/>
      <c r="C100" s="8"/>
      <c r="D100" s="8">
        <v>1</v>
      </c>
      <c r="E100" s="8"/>
      <c r="F100" s="8" t="s">
        <v>132</v>
      </c>
    </row>
    <row r="101" spans="1:6" ht="12.75" customHeight="1">
      <c r="A101" s="8" t="s">
        <v>177</v>
      </c>
      <c r="B101" s="8"/>
      <c r="C101" s="8"/>
      <c r="D101" s="8">
        <f>PI()*D100^2/4</f>
        <v>0.7853981633974483</v>
      </c>
      <c r="E101" s="8"/>
      <c r="F101" s="8" t="s">
        <v>175</v>
      </c>
    </row>
    <row r="102" spans="1:6" ht="12.75" customHeight="1">
      <c r="A102" s="8" t="s">
        <v>178</v>
      </c>
      <c r="B102" s="8"/>
      <c r="C102" s="8"/>
      <c r="D102" s="8">
        <f>D99/D101</f>
        <v>147.36568804805123</v>
      </c>
      <c r="E102" s="8"/>
      <c r="F102" s="8" t="s">
        <v>179</v>
      </c>
    </row>
    <row r="103" spans="1:6" ht="12.75" customHeight="1">
      <c r="A103" s="8" t="s">
        <v>180</v>
      </c>
      <c r="B103" s="8"/>
      <c r="C103" s="8"/>
      <c r="D103" s="8">
        <v>60</v>
      </c>
      <c r="E103" s="8"/>
      <c r="F103" s="8" t="s">
        <v>181</v>
      </c>
    </row>
    <row r="104" spans="1:6" ht="12.75" customHeight="1">
      <c r="A104" s="8" t="s">
        <v>182</v>
      </c>
      <c r="B104" s="8"/>
      <c r="C104" s="8"/>
      <c r="D104" s="8">
        <f>D103/D102</f>
        <v>0.4071504079052372</v>
      </c>
      <c r="E104" s="8"/>
      <c r="F104" s="8" t="s">
        <v>26</v>
      </c>
    </row>
    <row r="105" ht="12.75" customHeight="1"/>
    <row r="106" ht="12.75" customHeight="1">
      <c r="A106" s="8" t="s">
        <v>183</v>
      </c>
    </row>
    <row r="107" spans="1:6" ht="12.75" customHeight="1">
      <c r="A107" s="8" t="s">
        <v>168</v>
      </c>
      <c r="B107" s="8"/>
      <c r="C107" s="8"/>
      <c r="D107" s="8">
        <f>D94</f>
        <v>41.666666666666664</v>
      </c>
      <c r="E107" s="8"/>
      <c r="F107" s="8" t="s">
        <v>173</v>
      </c>
    </row>
    <row r="108" spans="1:6" ht="12.75" customHeight="1">
      <c r="A108" s="8" t="s">
        <v>171</v>
      </c>
      <c r="B108" s="8"/>
      <c r="C108" s="8"/>
      <c r="D108" s="8">
        <v>1</v>
      </c>
      <c r="E108" s="8"/>
      <c r="F108" s="8" t="s">
        <v>172</v>
      </c>
    </row>
    <row r="109" spans="1:6" ht="12.75" customHeight="1">
      <c r="A109" s="8" t="s">
        <v>174</v>
      </c>
      <c r="B109" s="8"/>
      <c r="C109" s="8"/>
      <c r="D109" s="8">
        <f>D107/3600/D108*10000</f>
        <v>115.74074074074073</v>
      </c>
      <c r="E109" s="8"/>
      <c r="F109" s="8" t="s">
        <v>32</v>
      </c>
    </row>
    <row r="110" spans="1:6" ht="12.75" customHeight="1">
      <c r="A110" s="8" t="s">
        <v>177</v>
      </c>
      <c r="B110" s="8"/>
      <c r="C110" s="8"/>
      <c r="D110" s="8">
        <f>PI()*D108^2/4</f>
        <v>0.7853981633974483</v>
      </c>
      <c r="E110" s="8"/>
      <c r="F110" s="8" t="s">
        <v>175</v>
      </c>
    </row>
    <row r="111" spans="1:6" ht="12.75" customHeight="1">
      <c r="A111" s="8" t="s">
        <v>178</v>
      </c>
      <c r="B111" s="8"/>
      <c r="C111" s="8"/>
      <c r="D111" s="8">
        <f>D109/D110</f>
        <v>147.36568804805123</v>
      </c>
      <c r="E111" s="8"/>
      <c r="F111" s="8" t="s">
        <v>179</v>
      </c>
    </row>
    <row r="112" spans="1:6" ht="12.75" customHeight="1">
      <c r="A112" s="8" t="s">
        <v>180</v>
      </c>
      <c r="B112" s="8"/>
      <c r="C112" s="8"/>
      <c r="D112" s="8">
        <v>30</v>
      </c>
      <c r="E112" s="8"/>
      <c r="F112" s="8" t="s">
        <v>181</v>
      </c>
    </row>
    <row r="113" spans="1:6" ht="12.75" customHeight="1">
      <c r="A113" s="8" t="s">
        <v>182</v>
      </c>
      <c r="B113" s="8"/>
      <c r="C113" s="8"/>
      <c r="D113" s="8">
        <f>D112/D111</f>
        <v>0.2035752039526186</v>
      </c>
      <c r="E113" s="8"/>
      <c r="F113" s="8" t="s">
        <v>26</v>
      </c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ht="12.75" customHeight="1"/>
    <row r="117" ht="18.75" customHeight="1">
      <c r="A117" s="1" t="s">
        <v>48</v>
      </c>
    </row>
    <row r="118" spans="1:6" ht="12.75" customHeight="1">
      <c r="A118" t="s">
        <v>36</v>
      </c>
      <c r="D118">
        <f>D79</f>
        <v>1200.0000000000002</v>
      </c>
      <c r="F118" t="s">
        <v>6</v>
      </c>
    </row>
    <row r="119" spans="1:6" ht="12.75" customHeight="1">
      <c r="A119" t="s">
        <v>44</v>
      </c>
      <c r="D119">
        <f>D78</f>
        <v>292</v>
      </c>
      <c r="F119" t="s">
        <v>6</v>
      </c>
    </row>
    <row r="120" spans="1:6" ht="12.75" customHeight="1">
      <c r="A120" t="s">
        <v>42</v>
      </c>
      <c r="D120">
        <v>60</v>
      </c>
      <c r="F120" t="s">
        <v>6</v>
      </c>
    </row>
    <row r="121" spans="1:6" ht="12.75" customHeight="1">
      <c r="A121" t="s">
        <v>37</v>
      </c>
      <c r="D121">
        <v>0</v>
      </c>
      <c r="F121" t="s">
        <v>6</v>
      </c>
    </row>
    <row r="122" spans="1:6" ht="12.75" customHeight="1">
      <c r="A122" t="s">
        <v>49</v>
      </c>
      <c r="D122">
        <f>D119-D120</f>
        <v>232</v>
      </c>
      <c r="F122" t="s">
        <v>6</v>
      </c>
    </row>
    <row r="123" spans="1:6" ht="12.75" customHeight="1">
      <c r="A123" t="s">
        <v>38</v>
      </c>
      <c r="D123">
        <f>D122-D121</f>
        <v>232</v>
      </c>
      <c r="F123" t="s">
        <v>6</v>
      </c>
    </row>
    <row r="124" spans="1:11" ht="12.75" customHeight="1">
      <c r="A124" t="s">
        <v>50</v>
      </c>
      <c r="D124">
        <v>4.4</v>
      </c>
      <c r="F124" t="s">
        <v>39</v>
      </c>
      <c r="I124">
        <f>D124*D123</f>
        <v>1020.8000000000001</v>
      </c>
      <c r="K124" t="s">
        <v>3</v>
      </c>
    </row>
    <row r="125" spans="1:6" ht="12.75" customHeight="1">
      <c r="A125" t="s">
        <v>40</v>
      </c>
      <c r="D125">
        <f>D118-I124</f>
        <v>179.20000000000016</v>
      </c>
      <c r="F125" t="s">
        <v>6</v>
      </c>
    </row>
    <row r="126" spans="1:4" ht="14.25" customHeight="1">
      <c r="A126" t="s">
        <v>104</v>
      </c>
      <c r="D126" s="2">
        <f>(D119-D120)/D120</f>
        <v>3.8666666666666667</v>
      </c>
    </row>
    <row r="127" ht="12.75" customHeight="1"/>
    <row r="128" ht="20.25" customHeight="1">
      <c r="A128" s="1" t="s">
        <v>46</v>
      </c>
    </row>
    <row r="129" spans="1:6" ht="12.75" customHeight="1">
      <c r="A129" t="s">
        <v>51</v>
      </c>
      <c r="D129">
        <f>D125</f>
        <v>179.20000000000016</v>
      </c>
      <c r="F129" t="s">
        <v>6</v>
      </c>
    </row>
    <row r="130" spans="1:6" ht="12.75" customHeight="1">
      <c r="A130" t="s">
        <v>41</v>
      </c>
      <c r="D130">
        <f>D119</f>
        <v>292</v>
      </c>
      <c r="F130" t="s">
        <v>6</v>
      </c>
    </row>
    <row r="131" spans="1:6" ht="12.75" customHeight="1">
      <c r="A131" s="2" t="s">
        <v>52</v>
      </c>
      <c r="D131">
        <v>0.5</v>
      </c>
      <c r="F131" t="s">
        <v>47</v>
      </c>
    </row>
    <row r="132" spans="1:6" ht="12.75" customHeight="1">
      <c r="A132" s="2" t="s">
        <v>55</v>
      </c>
      <c r="D132">
        <v>25</v>
      </c>
      <c r="F132" t="s">
        <v>56</v>
      </c>
    </row>
    <row r="133" spans="1:6" ht="12.75" customHeight="1">
      <c r="A133" s="2" t="s">
        <v>57</v>
      </c>
      <c r="D133">
        <v>2.5</v>
      </c>
      <c r="F133" t="s">
        <v>6</v>
      </c>
    </row>
    <row r="134" spans="1:4" ht="12.75" customHeight="1">
      <c r="A134" s="2" t="s">
        <v>58</v>
      </c>
      <c r="D134">
        <v>1.3</v>
      </c>
    </row>
    <row r="135" spans="1:4" ht="12.75" customHeight="1">
      <c r="A135" s="2" t="s">
        <v>59</v>
      </c>
      <c r="D135">
        <v>7.2</v>
      </c>
    </row>
    <row r="136" spans="1:4" ht="12.75" customHeight="1">
      <c r="A136" s="2" t="s">
        <v>60</v>
      </c>
      <c r="D136" s="3">
        <f>D131*EXP(0.098*(D132-20))*(D133/(D134+D133))*(1-0.833*(7.2-D135))</f>
        <v>0.536946124985322</v>
      </c>
    </row>
    <row r="137" spans="1:6" ht="12.75" customHeight="1">
      <c r="A137" s="2" t="s">
        <v>94</v>
      </c>
      <c r="D137" s="3">
        <v>0.2</v>
      </c>
      <c r="F137" t="s">
        <v>71</v>
      </c>
    </row>
    <row r="138" spans="1:4" ht="12.75" customHeight="1">
      <c r="A138" s="2" t="s">
        <v>54</v>
      </c>
      <c r="D138">
        <f>D136/D137</f>
        <v>2.68473062492661</v>
      </c>
    </row>
    <row r="139" spans="1:4" ht="12.75" customHeight="1">
      <c r="A139" s="2" t="s">
        <v>61</v>
      </c>
      <c r="D139">
        <v>0.05</v>
      </c>
    </row>
    <row r="140" spans="1:6" ht="12.75" customHeight="1">
      <c r="A140" s="2" t="s">
        <v>53</v>
      </c>
      <c r="D140">
        <f>1/(D137*D138-D139)</f>
        <v>2.053615274236227</v>
      </c>
      <c r="F140" t="s">
        <v>45</v>
      </c>
    </row>
    <row r="141" spans="1:4" ht="12.75" customHeight="1">
      <c r="A141" s="2" t="s">
        <v>62</v>
      </c>
      <c r="D141">
        <v>4</v>
      </c>
    </row>
    <row r="142" spans="1:6" ht="12.75" customHeight="1">
      <c r="A142" s="2" t="s">
        <v>63</v>
      </c>
      <c r="D142">
        <v>10</v>
      </c>
      <c r="F142" t="s">
        <v>45</v>
      </c>
    </row>
    <row r="143" spans="1:6" ht="12.75" customHeight="1">
      <c r="A143" t="s">
        <v>89</v>
      </c>
      <c r="D143">
        <f>(1/D142+D139)/D137</f>
        <v>0.7500000000000001</v>
      </c>
      <c r="F143" t="s">
        <v>47</v>
      </c>
    </row>
    <row r="144" spans="1:6" ht="12.75" customHeight="1">
      <c r="A144" s="4" t="s">
        <v>65</v>
      </c>
      <c r="D144" t="s">
        <v>64</v>
      </c>
      <c r="F144" t="s">
        <v>64</v>
      </c>
    </row>
    <row r="145" spans="1:6" ht="12.75" customHeight="1">
      <c r="A145" s="2" t="s">
        <v>66</v>
      </c>
      <c r="D145">
        <f>10^(0.051*D132-1.158)</f>
        <v>1.309181922999407</v>
      </c>
      <c r="F145" t="s">
        <v>6</v>
      </c>
    </row>
    <row r="146" spans="1:6" ht="12.75" customHeight="1">
      <c r="A146" s="2" t="s">
        <v>80</v>
      </c>
      <c r="D146">
        <f>D143*D145/(D138-D143)</f>
        <v>0.5075055046936062</v>
      </c>
      <c r="E146" t="s">
        <v>64</v>
      </c>
      <c r="F146" t="s">
        <v>6</v>
      </c>
    </row>
    <row r="147" ht="12.75" customHeight="1"/>
    <row r="148" ht="12.75" customHeight="1">
      <c r="A148" s="3" t="s">
        <v>67</v>
      </c>
    </row>
    <row r="149" spans="1:6" ht="12.75" customHeight="1">
      <c r="A149" t="s">
        <v>68</v>
      </c>
      <c r="B149" t="s">
        <v>64</v>
      </c>
      <c r="D149">
        <v>0.5</v>
      </c>
      <c r="F149" t="s">
        <v>70</v>
      </c>
    </row>
    <row r="150" spans="1:6" ht="12.75" customHeight="1">
      <c r="A150" t="s">
        <v>69</v>
      </c>
      <c r="C150" t="s">
        <v>64</v>
      </c>
      <c r="D150">
        <v>0.06</v>
      </c>
      <c r="E150" t="s">
        <v>64</v>
      </c>
      <c r="F150" t="s">
        <v>47</v>
      </c>
    </row>
    <row r="151" spans="1:6" ht="12.75" customHeight="1">
      <c r="A151" t="s">
        <v>90</v>
      </c>
      <c r="D151">
        <f>(1/D142+D150)/D149</f>
        <v>0.32</v>
      </c>
      <c r="F151" t="s">
        <v>47</v>
      </c>
    </row>
    <row r="152" spans="1:6" ht="12.75" customHeight="1">
      <c r="A152" t="s">
        <v>72</v>
      </c>
      <c r="D152">
        <f>D129</f>
        <v>179.20000000000016</v>
      </c>
      <c r="F152" t="s">
        <v>6</v>
      </c>
    </row>
    <row r="153" spans="1:6" ht="12.75" customHeight="1">
      <c r="A153" t="s">
        <v>73</v>
      </c>
      <c r="D153">
        <v>20</v>
      </c>
      <c r="F153" t="s">
        <v>6</v>
      </c>
    </row>
    <row r="154" spans="1:6" ht="12.75" customHeight="1">
      <c r="A154" t="s">
        <v>74</v>
      </c>
      <c r="D154">
        <v>3000</v>
      </c>
      <c r="F154" t="s">
        <v>6</v>
      </c>
    </row>
    <row r="155" spans="1:4" ht="12.75" customHeight="1">
      <c r="A155" t="s">
        <v>78</v>
      </c>
      <c r="D155" s="3">
        <f>D129/D130</f>
        <v>0.6136986301369869</v>
      </c>
    </row>
    <row r="156" spans="1:4" ht="12.75" customHeight="1">
      <c r="A156" t="s">
        <v>79</v>
      </c>
      <c r="D156" s="3">
        <v>0.5</v>
      </c>
    </row>
    <row r="157" spans="1:4" ht="12.75" customHeight="1">
      <c r="A157" t="s">
        <v>84</v>
      </c>
      <c r="D157" s="3">
        <f>D154*D156</f>
        <v>1500</v>
      </c>
    </row>
    <row r="158" spans="1:4" ht="12.75" customHeight="1">
      <c r="A158" t="s">
        <v>85</v>
      </c>
      <c r="D158" s="3">
        <f>D154-D157</f>
        <v>1500</v>
      </c>
    </row>
    <row r="159" spans="1:11" ht="12.75" customHeight="1">
      <c r="A159" t="s">
        <v>76</v>
      </c>
      <c r="D159" s="3">
        <f>(D152-D153)*(D5/1000)/D151/D157</f>
        <v>0.331666666666667</v>
      </c>
      <c r="F159" t="s">
        <v>47</v>
      </c>
      <c r="I159" s="3">
        <f>D159*24</f>
        <v>7.960000000000008</v>
      </c>
      <c r="K159" t="s">
        <v>75</v>
      </c>
    </row>
    <row r="160" spans="1:11" ht="12.75" customHeight="1">
      <c r="A160" t="s">
        <v>77</v>
      </c>
      <c r="D160">
        <f>(D130-D120)/(D143*D158)</f>
        <v>0.20622222222222217</v>
      </c>
      <c r="F160" t="s">
        <v>47</v>
      </c>
      <c r="I160">
        <f>D160*24</f>
        <v>4.949333333333332</v>
      </c>
      <c r="K160" t="s">
        <v>75</v>
      </c>
    </row>
    <row r="161" spans="1:6" ht="12.75" customHeight="1">
      <c r="A161" t="s">
        <v>87</v>
      </c>
      <c r="D161">
        <f>D159*D5</f>
        <v>331.66666666666697</v>
      </c>
      <c r="F161" t="s">
        <v>29</v>
      </c>
    </row>
    <row r="162" spans="1:6" ht="12.75" customHeight="1">
      <c r="A162" t="s">
        <v>86</v>
      </c>
      <c r="D162">
        <f>D160*D5</f>
        <v>206.22222222222217</v>
      </c>
      <c r="F162" t="s">
        <v>29</v>
      </c>
    </row>
    <row r="163" spans="1:6" ht="12.75" customHeight="1">
      <c r="A163" t="s">
        <v>88</v>
      </c>
      <c r="D163">
        <f>D161</f>
        <v>331.66666666666697</v>
      </c>
      <c r="F163" t="s">
        <v>29</v>
      </c>
    </row>
    <row r="164" spans="1:11" ht="12.75" customHeight="1">
      <c r="A164" t="s">
        <v>81</v>
      </c>
      <c r="D164">
        <f>((D152-D153)+4.57*(D130-D120))*D5/1000</f>
        <v>1219.44</v>
      </c>
      <c r="F164" t="s">
        <v>10</v>
      </c>
      <c r="I164">
        <f>D164/24</f>
        <v>50.81</v>
      </c>
      <c r="K164" t="s">
        <v>82</v>
      </c>
    </row>
    <row r="165" spans="1:6" ht="12.75" customHeight="1">
      <c r="A165" t="s">
        <v>162</v>
      </c>
      <c r="D165">
        <v>15</v>
      </c>
      <c r="F165" t="s">
        <v>163</v>
      </c>
    </row>
    <row r="166" spans="1:6" ht="12.75" customHeight="1">
      <c r="A166" t="s">
        <v>117</v>
      </c>
      <c r="D166">
        <v>3</v>
      </c>
      <c r="F166" t="s">
        <v>164</v>
      </c>
    </row>
    <row r="167" spans="1:6" ht="12.75" customHeight="1">
      <c r="A167" t="s">
        <v>158</v>
      </c>
      <c r="D167">
        <v>1.3</v>
      </c>
      <c r="F167" t="s">
        <v>159</v>
      </c>
    </row>
    <row r="168" spans="1:6" ht="12.75" customHeight="1">
      <c r="A168" t="s">
        <v>160</v>
      </c>
      <c r="D168">
        <f>D167*15*3</f>
        <v>58.5</v>
      </c>
      <c r="F168" t="s">
        <v>161</v>
      </c>
    </row>
    <row r="169" ht="12.75" customHeight="1"/>
    <row r="170" ht="12.75" customHeight="1">
      <c r="A170" t="s">
        <v>165</v>
      </c>
    </row>
    <row r="171" spans="1:6" ht="12.75" customHeight="1">
      <c r="A171" t="s">
        <v>102</v>
      </c>
      <c r="D171">
        <v>7.95</v>
      </c>
      <c r="F171" t="s">
        <v>26</v>
      </c>
    </row>
    <row r="172" spans="1:6" ht="12.75" customHeight="1">
      <c r="A172" t="s">
        <v>103</v>
      </c>
      <c r="D172">
        <v>30</v>
      </c>
      <c r="F172" t="s">
        <v>26</v>
      </c>
    </row>
    <row r="173" spans="1:4" ht="12.75" customHeight="1">
      <c r="A173" t="s">
        <v>106</v>
      </c>
      <c r="D173">
        <v>2.9</v>
      </c>
    </row>
    <row r="174" spans="1:4" ht="12.75" customHeight="1">
      <c r="A174" t="s">
        <v>27</v>
      </c>
      <c r="D174">
        <v>0.4</v>
      </c>
    </row>
    <row r="175" spans="1:4" ht="12.75" customHeight="1">
      <c r="A175" t="s">
        <v>101</v>
      </c>
      <c r="D175">
        <f>D173-D174</f>
        <v>2.5</v>
      </c>
    </row>
    <row r="176" spans="1:6" ht="12.75" customHeight="1">
      <c r="A176" t="s">
        <v>108</v>
      </c>
      <c r="D176">
        <f>D171*D172*D173</f>
        <v>691.65</v>
      </c>
      <c r="F176" t="s">
        <v>29</v>
      </c>
    </row>
    <row r="177" spans="1:7" ht="12.75" customHeight="1">
      <c r="A177" t="s">
        <v>107</v>
      </c>
      <c r="D177">
        <f>D171*D172*D175</f>
        <v>596.25</v>
      </c>
      <c r="F177" t="s">
        <v>29</v>
      </c>
      <c r="G177" t="s">
        <v>166</v>
      </c>
    </row>
    <row r="178" ht="12.75" customHeight="1"/>
    <row r="179" ht="12.75">
      <c r="A179" s="3" t="s">
        <v>83</v>
      </c>
    </row>
    <row r="180" spans="1:4" ht="12.75">
      <c r="A180" t="s">
        <v>43</v>
      </c>
      <c r="D180">
        <f>D126</f>
        <v>3.8666666666666667</v>
      </c>
    </row>
    <row r="181" spans="1:6" ht="12.75">
      <c r="A181" t="s">
        <v>91</v>
      </c>
      <c r="D181">
        <v>1600</v>
      </c>
      <c r="F181" t="s">
        <v>3</v>
      </c>
    </row>
    <row r="182" spans="1:6" ht="12.75">
      <c r="A182" t="s">
        <v>92</v>
      </c>
      <c r="D182">
        <v>0.2</v>
      </c>
      <c r="F182" t="s">
        <v>47</v>
      </c>
    </row>
    <row r="183" spans="1:11" ht="12.75">
      <c r="A183" t="s">
        <v>93</v>
      </c>
      <c r="D183">
        <f>(D119-D120-D121)*D5/1000/D182/D181</f>
        <v>0.725</v>
      </c>
      <c r="F183" t="s">
        <v>45</v>
      </c>
      <c r="I183">
        <f>D183*24</f>
        <v>17.4</v>
      </c>
      <c r="K183" t="s">
        <v>75</v>
      </c>
    </row>
    <row r="184" spans="4:6" ht="12.75">
      <c r="D184">
        <f>D5*D183</f>
        <v>725</v>
      </c>
      <c r="F184" t="s">
        <v>29</v>
      </c>
    </row>
    <row r="186" ht="12.75">
      <c r="A186" s="3" t="s">
        <v>109</v>
      </c>
    </row>
    <row r="187" spans="1:6" ht="12.75">
      <c r="A187" t="s">
        <v>102</v>
      </c>
      <c r="D187">
        <v>6.95</v>
      </c>
      <c r="F187" t="s">
        <v>26</v>
      </c>
    </row>
    <row r="188" spans="1:6" ht="12.75">
      <c r="A188" t="s">
        <v>103</v>
      </c>
      <c r="D188">
        <v>23.7</v>
      </c>
      <c r="F188" t="s">
        <v>26</v>
      </c>
    </row>
    <row r="189" spans="1:4" ht="12.75">
      <c r="A189" t="s">
        <v>106</v>
      </c>
      <c r="D189">
        <v>4.15</v>
      </c>
    </row>
    <row r="190" spans="1:4" ht="12.75">
      <c r="A190" t="s">
        <v>27</v>
      </c>
      <c r="D190">
        <v>0.25</v>
      </c>
    </row>
    <row r="191" spans="1:4" ht="12.75">
      <c r="A191" t="s">
        <v>101</v>
      </c>
      <c r="D191">
        <f>D189-D190</f>
        <v>3.9000000000000004</v>
      </c>
    </row>
    <row r="192" spans="1:6" ht="12.75">
      <c r="A192" t="s">
        <v>108</v>
      </c>
      <c r="D192">
        <f>D187*D188*D189</f>
        <v>683.5672500000001</v>
      </c>
      <c r="F192" t="s">
        <v>29</v>
      </c>
    </row>
    <row r="193" spans="1:6" ht="12.75">
      <c r="A193" t="s">
        <v>107</v>
      </c>
      <c r="D193">
        <f>D187*D188*D191</f>
        <v>642.3885</v>
      </c>
      <c r="F193" t="s">
        <v>29</v>
      </c>
    </row>
    <row r="196" ht="12.75">
      <c r="A196" s="3" t="s">
        <v>96</v>
      </c>
    </row>
    <row r="197" spans="1:6" ht="12.75">
      <c r="A197" t="s">
        <v>0</v>
      </c>
      <c r="D197">
        <f>D5/24</f>
        <v>41.666666666666664</v>
      </c>
      <c r="F197" t="s">
        <v>97</v>
      </c>
    </row>
    <row r="198" spans="1:6" ht="12.75">
      <c r="A198" t="s">
        <v>98</v>
      </c>
      <c r="D198">
        <v>0.65</v>
      </c>
      <c r="F198" t="s">
        <v>35</v>
      </c>
    </row>
    <row r="199" spans="1:11" ht="12.75">
      <c r="A199" t="s">
        <v>99</v>
      </c>
      <c r="D199">
        <f>D197/D198</f>
        <v>64.1025641025641</v>
      </c>
      <c r="F199" t="s">
        <v>32</v>
      </c>
      <c r="H199" t="s">
        <v>105</v>
      </c>
      <c r="J199">
        <f>D201*D201*PI()/4*0.65</f>
        <v>61.771565551209314</v>
      </c>
      <c r="K199" t="s">
        <v>97</v>
      </c>
    </row>
    <row r="200" spans="1:6" ht="12.75">
      <c r="A200" t="s">
        <v>25</v>
      </c>
      <c r="D200">
        <f>(D199*4/PI())^0.5</f>
        <v>9.034263640956318</v>
      </c>
      <c r="F200" t="s">
        <v>26</v>
      </c>
    </row>
    <row r="201" spans="1:6" ht="12.75">
      <c r="A201" t="s">
        <v>100</v>
      </c>
      <c r="D201">
        <v>11</v>
      </c>
      <c r="F201" t="s">
        <v>26</v>
      </c>
    </row>
    <row r="202" spans="1:6" ht="12.75">
      <c r="A202" t="s">
        <v>101</v>
      </c>
      <c r="D202">
        <v>3</v>
      </c>
      <c r="F202" t="s">
        <v>26</v>
      </c>
    </row>
    <row r="203" spans="1:6" ht="12.75">
      <c r="A203" t="s">
        <v>27</v>
      </c>
      <c r="D203">
        <v>0.3</v>
      </c>
      <c r="F203" t="s">
        <v>26</v>
      </c>
    </row>
    <row r="204" spans="1:6" ht="12.75">
      <c r="A204" t="s">
        <v>30</v>
      </c>
      <c r="D204">
        <f>D202+D203</f>
        <v>3.3</v>
      </c>
      <c r="F204" t="s">
        <v>26</v>
      </c>
    </row>
    <row r="205" spans="1:6" ht="12.75">
      <c r="A205" t="s">
        <v>28</v>
      </c>
      <c r="D205">
        <f>PI()*D201^2/4*D204</f>
        <v>313.6094866446011</v>
      </c>
      <c r="F205" t="s">
        <v>29</v>
      </c>
    </row>
    <row r="206" spans="1:6" ht="12.75">
      <c r="A206" t="s">
        <v>33</v>
      </c>
      <c r="D206">
        <f>PI()*D201^2/4*D202</f>
        <v>285.09953331327375</v>
      </c>
      <c r="F206" t="s">
        <v>29</v>
      </c>
    </row>
    <row r="208" ht="12.75">
      <c r="A208" t="s">
        <v>152</v>
      </c>
    </row>
    <row r="209" spans="1:6" ht="12.75">
      <c r="A209" t="s">
        <v>153</v>
      </c>
      <c r="D209">
        <f>J199-D197</f>
        <v>20.10489888454265</v>
      </c>
      <c r="F209" t="s">
        <v>97</v>
      </c>
    </row>
    <row r="210" spans="1:6" ht="12.75">
      <c r="A210" t="s">
        <v>154</v>
      </c>
      <c r="D210">
        <f>(G58*D197+D209*D120)/(D209+D197)</f>
        <v>235.37734775966425</v>
      </c>
      <c r="F210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Envire System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P-2400</dc:creator>
  <cp:keywords/>
  <dc:description/>
  <cp:lastModifiedBy>P_2400</cp:lastModifiedBy>
  <cp:lastPrinted>2004-06-16T03:08:08Z</cp:lastPrinted>
  <dcterms:created xsi:type="dcterms:W3CDTF">2004-03-26T09:37:20Z</dcterms:created>
  <dcterms:modified xsi:type="dcterms:W3CDTF">2005-10-21T10:44:36Z</dcterms:modified>
  <cp:category/>
  <cp:version/>
  <cp:contentType/>
  <cp:contentStatus/>
</cp:coreProperties>
</file>