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70" windowHeight="7095" tabRatio="894" firstSheet="1" activeTab="1"/>
  </bookViews>
  <sheets>
    <sheet name="Company Info" sheetId="1" state="hidden" r:id="rId1"/>
    <sheet name="Stock Selection Guide" sheetId="2" r:id="rId2"/>
    <sheet name="Visual Analysis" sheetId="3" r:id="rId3"/>
    <sheet name="Text Version" sheetId="4" state="hidden" r:id="rId4"/>
    <sheet name="Chart calculations" sheetId="5" state="hidden" r:id="rId5"/>
    <sheet name="Read Me!" sheetId="6" r:id="rId6"/>
  </sheets>
  <definedNames>
    <definedName name="_xlnm.Print_Area" localSheetId="0">'Company Info'!$A$1:$B$400</definedName>
    <definedName name="SSG">'Company Info'!#REF!</definedName>
  </definedNames>
  <calcPr fullCalcOnLoad="1"/>
</workbook>
</file>

<file path=xl/sharedStrings.xml><?xml version="1.0" encoding="utf-8"?>
<sst xmlns="http://schemas.openxmlformats.org/spreadsheetml/2006/main" count="654" uniqueCount="365">
  <si>
    <t>High Price</t>
  </si>
  <si>
    <t>Low Price (Oldest Year)</t>
  </si>
  <si>
    <t>Low Price</t>
  </si>
  <si>
    <t>Sales (Oldest Year)</t>
  </si>
  <si>
    <t>Sales</t>
  </si>
  <si>
    <t>Tax Rate (Oldest Year)</t>
  </si>
  <si>
    <t>Tax Rate</t>
  </si>
  <si>
    <t>PreTax Inc (Oldest Year)</t>
  </si>
  <si>
    <t>PreTax Inc</t>
  </si>
  <si>
    <t>Net Income (Oldest Year)</t>
  </si>
  <si>
    <t>Net Income</t>
  </si>
  <si>
    <t>Book Value (Oldest Year)</t>
  </si>
  <si>
    <t>Book Value</t>
  </si>
  <si>
    <t>Earnings per Share (Oldest Year)</t>
  </si>
  <si>
    <t xml:space="preserve">Earnings per Share </t>
  </si>
  <si>
    <t>Dividend per Share (Oldest Year)</t>
  </si>
  <si>
    <t>Dividend per Share</t>
  </si>
  <si>
    <t>Current Price</t>
  </si>
  <si>
    <t>Current P/E</t>
  </si>
  <si>
    <t>Current Dividend</t>
  </si>
  <si>
    <t>Last yr of data</t>
  </si>
  <si>
    <t>No of  Data Years Used</t>
  </si>
  <si>
    <t>52 Week high</t>
  </si>
  <si>
    <t>52 Week low</t>
  </si>
  <si>
    <t>Number common shares outstanding</t>
  </si>
  <si>
    <t>#auth. common</t>
  </si>
  <si>
    <t>#pref shares</t>
  </si>
  <si>
    <t>#auth pref</t>
  </si>
  <si>
    <t>Total debt</t>
  </si>
  <si>
    <t>Pot. dilution</t>
  </si>
  <si>
    <t>Latest quarterly sales</t>
  </si>
  <si>
    <t>Year Ago quarterly sales</t>
  </si>
  <si>
    <t>Latest quarterly E/S</t>
  </si>
  <si>
    <t>Year Ago quarterly E/S</t>
  </si>
  <si>
    <t>last CY of data +5</t>
  </si>
  <si>
    <t>Outside e/s est</t>
  </si>
  <si>
    <t>Choice low price (5Yr Avg Low)</t>
  </si>
  <si>
    <t>Choice hi PE</t>
  </si>
  <si>
    <t>Choice low PE</t>
  </si>
  <si>
    <t>High Yield</t>
  </si>
  <si>
    <t>Add/Delete flag</t>
  </si>
  <si>
    <t>Low e/s est.</t>
  </si>
  <si>
    <t>Qtrly e/s growth</t>
  </si>
  <si>
    <t>Proj e/s growth</t>
  </si>
  <si>
    <t>Qtrly sales growth</t>
  </si>
  <si>
    <t>Proj sales growth</t>
  </si>
  <si>
    <t>Current yield</t>
  </si>
  <si>
    <t>Avg. yield</t>
  </si>
  <si>
    <t>Hist. e/s growth</t>
  </si>
  <si>
    <t>Avg PE</t>
  </si>
  <si>
    <t>U:D ratio</t>
  </si>
  <si>
    <t>5 yr. sales est.</t>
  </si>
  <si>
    <t>Avg pre-tax prof.</t>
  </si>
  <si>
    <t>Income tax rate</t>
  </si>
  <si>
    <t>Pref. dividends</t>
  </si>
  <si>
    <t>Proj. liabilities</t>
  </si>
  <si>
    <t>Proj. out. shares</t>
  </si>
  <si>
    <t>Pref. proc. e/s</t>
  </si>
  <si>
    <t>Visual e/s est.</t>
  </si>
  <si>
    <t>Last CY trend e/s</t>
  </si>
  <si>
    <t>Hist. sales growth</t>
  </si>
  <si>
    <t>Avg. ROE</t>
  </si>
  <si>
    <t>Low price est.</t>
  </si>
  <si>
    <t>Avg. price est.</t>
  </si>
  <si>
    <t>Sell level price</t>
  </si>
  <si>
    <t>Proj. div payout%</t>
  </si>
  <si>
    <t>Previous E/S</t>
  </si>
  <si>
    <t>New EpS est</t>
  </si>
  <si>
    <t>Proj. hi price</t>
  </si>
  <si>
    <t>Current Cash</t>
  </si>
  <si>
    <t>Current Accounts Receivables</t>
  </si>
  <si>
    <t>Current Inventories</t>
  </si>
  <si>
    <t>Current assets</t>
  </si>
  <si>
    <t>Short Term Debt (Sum Last 4 Qtrs)</t>
  </si>
  <si>
    <t>Current liabilities</t>
  </si>
  <si>
    <t>Year Ago Current Cash</t>
  </si>
  <si>
    <t>Year Ago Accounts Receivables</t>
  </si>
  <si>
    <t>Year Ago Inventories</t>
  </si>
  <si>
    <t>Year Ago Curr assets</t>
  </si>
  <si>
    <t xml:space="preserve">Year Ago Debt </t>
  </si>
  <si>
    <t>Year Ago Cur liabilities</t>
  </si>
  <si>
    <t>Total capitalization</t>
  </si>
  <si>
    <t>Long term debt (Oldest)</t>
  </si>
  <si>
    <t>Long term debt</t>
  </si>
  <si>
    <t>Number shares outstanding (Oldest)</t>
  </si>
  <si>
    <t>Number shares outstanding</t>
  </si>
  <si>
    <t>Cash flow/sh (Oldest)</t>
  </si>
  <si>
    <t>Cash flow/sh</t>
  </si>
  <si>
    <t>Total assets</t>
  </si>
  <si>
    <t>Interest coverage %</t>
  </si>
  <si>
    <t>Total return</t>
  </si>
  <si>
    <t>Proj. e/s growth</t>
  </si>
  <si>
    <t>severe low price</t>
  </si>
  <si>
    <t>R squared</t>
  </si>
  <si>
    <t>Reserved</t>
  </si>
  <si>
    <t>Quarterly Sales (Oldest)</t>
  </si>
  <si>
    <t xml:space="preserve">Quarterly Sales </t>
  </si>
  <si>
    <t>Quarterly E/S (Oldest)</t>
  </si>
  <si>
    <t>Quarterly E/S</t>
  </si>
  <si>
    <t>Quarterly Dividends (Oldest)</t>
  </si>
  <si>
    <t>Quarterly Dividends</t>
  </si>
  <si>
    <t>INSIDE OWNERSHIP</t>
  </si>
  <si>
    <t>INSTITUTIONAL HOLDINGS</t>
  </si>
  <si>
    <t>Ace 5 Year Estimate E/S Growth Rate</t>
  </si>
  <si>
    <t>PREDICTABILITY</t>
  </si>
  <si>
    <t>LT DEBT</t>
  </si>
  <si>
    <t>Fiscal Yr end Month</t>
  </si>
  <si>
    <t>Name</t>
  </si>
  <si>
    <t>Symbol</t>
  </si>
  <si>
    <t>Exchange</t>
  </si>
  <si>
    <t>Data source</t>
  </si>
  <si>
    <t>Date of data Creation</t>
  </si>
  <si>
    <t>v-l page</t>
  </si>
  <si>
    <t>code</t>
  </si>
  <si>
    <t xml:space="preserve">Reserved </t>
  </si>
  <si>
    <t>industry</t>
  </si>
  <si>
    <t>Split Ratio During Quarter</t>
  </si>
  <si>
    <t>Latest Quarter Ending Date</t>
  </si>
  <si>
    <t>Month of Latest Quarterly Data</t>
  </si>
  <si>
    <t>Year of Latest Quarterly Data</t>
  </si>
  <si>
    <t xml:space="preserve">Software Version </t>
  </si>
  <si>
    <t>Sic Code</t>
  </si>
  <si>
    <t>S &amp; P Stock Rank</t>
  </si>
  <si>
    <t>Financial strength VL</t>
  </si>
  <si>
    <t>Safety VL</t>
  </si>
  <si>
    <t>Beta</t>
  </si>
  <si>
    <t>Quarterly Pre-Tax Income (Oldest)</t>
  </si>
  <si>
    <t xml:space="preserve">Quarterly Pre-Tax Income </t>
  </si>
  <si>
    <t>Quarterly Pre-Tax Income  (Most Recent)</t>
  </si>
  <si>
    <t>Quarterly Net Income (Oldest)</t>
  </si>
  <si>
    <t xml:space="preserve">Quarterly Net Income </t>
  </si>
  <si>
    <t>Quarterly Net Income (Most Recent)</t>
  </si>
  <si>
    <t>E/S in 5 Yrs. Based on Ace Proj Growth Rate</t>
  </si>
  <si>
    <t>Historical 5 Yr E/S Growth Rate</t>
  </si>
  <si>
    <t>Current PE/Ace 5 Yr Growth rate</t>
  </si>
  <si>
    <t>S&amp;P Rating</t>
  </si>
  <si>
    <t>Avg 5 Yr PE</t>
  </si>
  <si>
    <t>Proj 5 Yr High Price</t>
  </si>
  <si>
    <t>Proj Compounded Appreciation of Price</t>
  </si>
  <si>
    <t>Current Yield</t>
  </si>
  <si>
    <t>Proj Total Return</t>
  </si>
  <si>
    <t>Historical 5 Yr. Sales Growth Rate</t>
  </si>
  <si>
    <t>Historical 5 Yr E/S Growth R-Squared</t>
  </si>
  <si>
    <t>Industry Group</t>
  </si>
  <si>
    <t>% Off 52 Week High Price</t>
  </si>
  <si>
    <t>% Above 52 Week Low Price</t>
  </si>
  <si>
    <t>Relative Value</t>
  </si>
  <si>
    <t>PE/Avg ROE</t>
  </si>
  <si>
    <t>Debt as % of Capital</t>
  </si>
  <si>
    <t>Next Year E/S estimate</t>
  </si>
  <si>
    <t>Historical 5 Yr. Sales Growth R-Squared</t>
  </si>
  <si>
    <t>STOCK SELECTION GUIDE</t>
  </si>
  <si>
    <t xml:space="preserve">Company </t>
  </si>
  <si>
    <t>CAPITALIZATION:</t>
  </si>
  <si>
    <t xml:space="preserve">Report Date </t>
  </si>
  <si>
    <t xml:space="preserve">Data From </t>
  </si>
  <si>
    <t xml:space="preserve">Com Shares Outstanding </t>
  </si>
  <si>
    <t xml:space="preserve">Symbol </t>
  </si>
  <si>
    <t xml:space="preserve">Com Shares Authorized </t>
  </si>
  <si>
    <t xml:space="preserve">Exchange </t>
  </si>
  <si>
    <t xml:space="preserve">Pref Shares Outstandng </t>
  </si>
  <si>
    <t xml:space="preserve">Industry </t>
  </si>
  <si>
    <t xml:space="preserve">Pref Shares Authorized </t>
  </si>
  <si>
    <t xml:space="preserve">Current Price </t>
  </si>
  <si>
    <t xml:space="preserve">Long Term Debt </t>
  </si>
  <si>
    <t xml:space="preserve">Current P/E </t>
  </si>
  <si>
    <t xml:space="preserve">Total Debt </t>
  </si>
  <si>
    <t xml:space="preserve">Current Dividend </t>
  </si>
  <si>
    <t xml:space="preserve">Potential Dilution </t>
  </si>
  <si>
    <t>PART 1: ANALYSIS OF SALES, EARNINGS &amp; PRICE</t>
  </si>
  <si>
    <t>RECENT QUARTERLY FIGURES:</t>
  </si>
  <si>
    <t>Latest Quarter Ended</t>
  </si>
  <si>
    <t xml:space="preserve">Sales: </t>
  </si>
  <si>
    <t>EPS:</t>
  </si>
  <si>
    <t>Latest Quarter</t>
  </si>
  <si>
    <t>Year Ago Quarter</t>
  </si>
  <si>
    <t>Percentage Change</t>
  </si>
  <si>
    <t>10-YEAR HISTORY OF SALES, EARNINGS, PRE-TAX PROFIT &amp; PRICE</t>
  </si>
  <si>
    <t>Earnings</t>
  </si>
  <si>
    <t>Pre-Tax Profit</t>
  </si>
  <si>
    <t xml:space="preserve">Hist 10-Yr Sales Growth: </t>
  </si>
  <si>
    <t xml:space="preserve">Hist 10-Yr EPS Growth: </t>
  </si>
  <si>
    <t xml:space="preserve">Proj ACE 5-Yr EPS Growth: </t>
  </si>
  <si>
    <t xml:space="preserve">Hist 5-Yr Sales Growth: </t>
  </si>
  <si>
    <t xml:space="preserve">Hist 5-Yr EPS Growth: </t>
  </si>
  <si>
    <t xml:space="preserve">Proj ACE 5-Yr EPS: </t>
  </si>
  <si>
    <t xml:space="preserve">Proj Sales Growth: </t>
  </si>
  <si>
    <t xml:space="preserve">Proj 5-Yr EPS Growth: </t>
  </si>
  <si>
    <t>Proj 5-Yrs Sales:</t>
  </si>
  <si>
    <t xml:space="preserve">Proj 5-Yr EPS: </t>
  </si>
  <si>
    <t>PART 2: EVALUATING MANAGEMENT</t>
  </si>
  <si>
    <t>5-Yr Avg</t>
  </si>
  <si>
    <t>TREND</t>
  </si>
  <si>
    <t>A. % PTP</t>
  </si>
  <si>
    <t>B. % ROE</t>
  </si>
  <si>
    <t>PART 3: PRICE-EARNINGS HISTORY as an indicator of the future</t>
  </si>
  <si>
    <t>This shows how stock prices have fluctuated with earnings and dividends.  It is a building block for translating earnings into future stock prices.</t>
  </si>
  <si>
    <t xml:space="preserve">Present Price: </t>
  </si>
  <si>
    <t xml:space="preserve">High This Year: </t>
  </si>
  <si>
    <t xml:space="preserve">Low This Year: </t>
  </si>
  <si>
    <t>Year</t>
  </si>
  <si>
    <t>Hi Price</t>
  </si>
  <si>
    <t>Lo Price</t>
  </si>
  <si>
    <t>EPS</t>
  </si>
  <si>
    <t>Hi P/E</t>
  </si>
  <si>
    <t>Lo P/E</t>
  </si>
  <si>
    <t>Div</t>
  </si>
  <si>
    <t>% Payout</t>
  </si>
  <si>
    <t>% Hi Yield</t>
  </si>
  <si>
    <t>AVERAGE</t>
  </si>
  <si>
    <t xml:space="preserve">Average P/E Ratio: </t>
  </si>
  <si>
    <t xml:space="preserve">Current P/E Ratio: </t>
  </si>
  <si>
    <t>PART 4: EVALUATING RISK AND REWARD over the next five years</t>
  </si>
  <si>
    <t>Assuming one recession and one business boom every 5 years, calculations are made of how high and low the stock might sell.</t>
  </si>
  <si>
    <t>The upside-downside ratio is the key to evaluating risk and reward.</t>
  </si>
  <si>
    <t>A. HIGH PRICE- NEXT 5 YEARS</t>
  </si>
  <si>
    <t xml:space="preserve">Average High P/E </t>
  </si>
  <si>
    <t>x Est. High EPS</t>
  </si>
  <si>
    <t xml:space="preserve"> = Forecast Hi Price</t>
  </si>
  <si>
    <t>B. LOW PRICE- NEXT 5 YEARS</t>
  </si>
  <si>
    <t xml:space="preserve">b) Avg. Low P/E </t>
  </si>
  <si>
    <t>x Est. Low EPS</t>
  </si>
  <si>
    <t>a) Avg. 5-Year Low</t>
  </si>
  <si>
    <t>c) Recent Severe Low</t>
  </si>
  <si>
    <t>d) Price Dividend Will Support</t>
  </si>
  <si>
    <t>Selected Estimated Low Price</t>
  </si>
  <si>
    <t>C. ZONING</t>
  </si>
  <si>
    <t xml:space="preserve"> Buy</t>
  </si>
  <si>
    <t>to</t>
  </si>
  <si>
    <t xml:space="preserve"> Hold</t>
  </si>
  <si>
    <t xml:space="preserve"> Sell</t>
  </si>
  <si>
    <t>Current Price of</t>
  </si>
  <si>
    <t>D. UP-SIDE DOWN-SIDE RATIO (Potential Gain vs. Risk of Loss)</t>
  </si>
  <si>
    <t xml:space="preserve"> To 1</t>
  </si>
  <si>
    <t>E. PRICE TARGET (Simple Interest)</t>
  </si>
  <si>
    <t>PART 5: 5-Year Potential</t>
  </si>
  <si>
    <t>These calculations provide a picture of future income.  They also provide a standard for comparing income and growth stocks.</t>
  </si>
  <si>
    <t xml:space="preserve">Current Yield </t>
  </si>
  <si>
    <t xml:space="preserve">Future Avg. Yield </t>
  </si>
  <si>
    <t xml:space="preserve">Potential Total Return </t>
  </si>
  <si>
    <t xml:space="preserve">Current Relative Value </t>
  </si>
  <si>
    <t>Company ........</t>
  </si>
  <si>
    <t>Data Date ......</t>
  </si>
  <si>
    <t>Data From ......</t>
  </si>
  <si>
    <t>Symbol .........</t>
  </si>
  <si>
    <t>Exchange .......</t>
  </si>
  <si>
    <t>Industry .......</t>
  </si>
  <si>
    <t>Current Price ..</t>
  </si>
  <si>
    <t>Current P/E ....</t>
  </si>
  <si>
    <t>Current Div ....</t>
  </si>
  <si>
    <t>Com Shrs Out ...</t>
  </si>
  <si>
    <t>Com Shrs Auth ..</t>
  </si>
  <si>
    <t>Prf Shrs Out ...</t>
  </si>
  <si>
    <t>Prf Shrs Auth ..</t>
  </si>
  <si>
    <t>Long Term Debt .</t>
  </si>
  <si>
    <t>Total Debt .....</t>
  </si>
  <si>
    <t>Pot. Dilution ..</t>
  </si>
  <si>
    <t>PART 1: ANALYSIS OF SALES, EARNINGS AND PRICE</t>
  </si>
  <si>
    <t>Recent Results For Quarter Ended</t>
  </si>
  <si>
    <t>Latest Quarter Sales....</t>
  </si>
  <si>
    <t>Year Ago Quarter Sales..</t>
  </si>
  <si>
    <t>% Change Sales..........</t>
  </si>
  <si>
    <t>Latest Quarter EPS......</t>
  </si>
  <si>
    <t>Year Ago Quarter EPS....</t>
  </si>
  <si>
    <t>% Change EPS............</t>
  </si>
  <si>
    <t>........................</t>
  </si>
  <si>
    <t>Sales ..................</t>
  </si>
  <si>
    <t>EPS ....................</t>
  </si>
  <si>
    <t>Pre-Tax Profit .........</t>
  </si>
  <si>
    <t>High Price .............</t>
  </si>
  <si>
    <t>Low Price ..............</t>
  </si>
  <si>
    <t>Hist 10-Yr Sales Grth ..</t>
  </si>
  <si>
    <t>Hist 5-Yr Sales Grth ...</t>
  </si>
  <si>
    <t>Proj Sales Growth ......</t>
  </si>
  <si>
    <t>Proj 5-Yrs Sales .......</t>
  </si>
  <si>
    <t>Hist 10-Yr EPS Growth ..</t>
  </si>
  <si>
    <t>Hist 5-Yr EPS Growth ...</t>
  </si>
  <si>
    <t>Proj 5-Yr EPS Growth ...</t>
  </si>
  <si>
    <t>Proj 5-Yr EPS ..........</t>
  </si>
  <si>
    <t xml:space="preserve">Proj ACE 5-Yr EPS Grth . </t>
  </si>
  <si>
    <t>Proj ACE 5-Yr EPS ......</t>
  </si>
  <si>
    <t>A. % PTP ...............</t>
  </si>
  <si>
    <t>B. % ROE ...............</t>
  </si>
  <si>
    <t>5-Yr Avg PTP ...........</t>
  </si>
  <si>
    <t>5-Yr Avg ROE ...........</t>
  </si>
  <si>
    <t>Year ...................</t>
  </si>
  <si>
    <t>Hi Pr</t>
  </si>
  <si>
    <t>Lo Pr</t>
  </si>
  <si>
    <t>Hi PE</t>
  </si>
  <si>
    <t>Lo PE</t>
  </si>
  <si>
    <t>% Pyt</t>
  </si>
  <si>
    <t>% Hi Yld</t>
  </si>
  <si>
    <t>Present Price ..........</t>
  </si>
  <si>
    <t>High This Year .........</t>
  </si>
  <si>
    <t>Low This Year ..........</t>
  </si>
  <si>
    <t>Average Low Price ......</t>
  </si>
  <si>
    <t>Average Hi P/E Ratio ...</t>
  </si>
  <si>
    <t>Average Low P/E Ratio ..</t>
  </si>
  <si>
    <t>Average P/E Ratio ......</t>
  </si>
  <si>
    <t>Current P/E Ratio ......</t>
  </si>
  <si>
    <t>Average % Payout .......</t>
  </si>
  <si>
    <t>A. HIGH PRICE-NEXT 5 YEARS</t>
  </si>
  <si>
    <t>Average High P/E .......</t>
  </si>
  <si>
    <t xml:space="preserve"> = </t>
  </si>
  <si>
    <t>B. LOW PRICE-NEXT 5 YEARS</t>
  </si>
  <si>
    <t>b) Avg. Low P/E ........</t>
  </si>
  <si>
    <t>a) Avg. 5-Year Low .....</t>
  </si>
  <si>
    <t>c) Recent Severe Low ...</t>
  </si>
  <si>
    <t>d) Price Div. Will Supp.</t>
  </si>
  <si>
    <t>Selected Est. Low Price</t>
  </si>
  <si>
    <t xml:space="preserve"> Buy ...................</t>
  </si>
  <si>
    <t xml:space="preserve"> Hold ..................</t>
  </si>
  <si>
    <t xml:space="preserve"> Sell ..................</t>
  </si>
  <si>
    <t>Current Yield ..........</t>
  </si>
  <si>
    <t>Future Avg. Yield ......</t>
  </si>
  <si>
    <t>Pot. Total Return ......</t>
  </si>
  <si>
    <t>Current Rel. Value .....</t>
  </si>
  <si>
    <t>IF('Stock Selection Guide'!I19=1, "#N/A",(IF(('Stock Selection Guide'!D19)&gt;0,('Stock Selection Guide'!D19),"#N/A")))</t>
  </si>
  <si>
    <t>SSG DATAFILE READER</t>
  </si>
  <si>
    <t>Version 2.2</t>
  </si>
  <si>
    <t>This workbook will read *.SSG datafiles, the default file format of</t>
  </si>
  <si>
    <t>NAIC's SSG software programs. It requires Excel 5.0 for Windows.</t>
  </si>
  <si>
    <t>A separate Bin Hex version of the spreadsheet for the Macintosh is</t>
  </si>
  <si>
    <t>in this same directory.</t>
  </si>
  <si>
    <t>*.SSG files are available from several online sources, and investors</t>
  </si>
  <si>
    <t>often share their analyses by e-mailing, or downloading, these data</t>
  </si>
  <si>
    <t>files.</t>
  </si>
  <si>
    <t xml:space="preserve">This workbook also allows a user to save a "text-only version of an </t>
  </si>
  <si>
    <t>SSG file.  This is handy to post your completed analysis in an e-mail</t>
  </si>
  <si>
    <t xml:space="preserve">message to share with other users.  From your SSG program, you can </t>
  </si>
  <si>
    <t>export a *.SSG file, which may then be imported into this spreadsheet</t>
  </si>
  <si>
    <t>and converted to a readable text file.</t>
  </si>
  <si>
    <t xml:space="preserve">To use the workbook, click the Import SSG File button on the </t>
  </si>
  <si>
    <t>Stock Selection Guide Page, and select the *.SSG file you wish to view.</t>
  </si>
  <si>
    <t>All data will be imported and all calculations will be done.</t>
  </si>
  <si>
    <t>Because the workbook can be used with users own SSG files (that have</t>
  </si>
  <si>
    <t>had judgement added) as well as data-only SSG files (such as those</t>
  </si>
  <si>
    <t xml:space="preserve">that can be downloaded from NAIC's Web Site), the workbook </t>
  </si>
  <si>
    <t>attempts to calculate a completed Stock Selection Guide using default</t>
  </si>
  <si>
    <t>values.  Investors should note that these values are just to "fill in the</t>
  </si>
  <si>
    <t>blanks", and may often be ridiculously off the mark.  Investors should</t>
  </si>
  <si>
    <t>make their own judgements about a company's future growth and price</t>
  </si>
  <si>
    <t>potential.</t>
  </si>
  <si>
    <t xml:space="preserve">To export a text version, click the Save As Text button on the </t>
  </si>
  <si>
    <t>Stock Selection Guide Page, and select the directory you wish to save the file in.</t>
  </si>
  <si>
    <t>KNOWN PROBLEMS:</t>
  </si>
  <si>
    <t>The workbook must be named SSG-READ.XLS in order for the macros to work properly.</t>
  </si>
  <si>
    <t>The Visual Analysis chart will give an error message "Negative or zero values cannot be properly</t>
  </si>
  <si>
    <t xml:space="preserve">    charted on a log chart" if any of the revenues, earnings or pre-tax profit figures are zero or negative.</t>
  </si>
  <si>
    <t>I have attempted to make the workbook useable for both user-contributed datafiles in the SSG File</t>
  </si>
  <si>
    <t xml:space="preserve">    Library, which have the user's projections, as well as the Undervalued Stock and Stock to Study</t>
  </si>
  <si>
    <t xml:space="preserve">    Datafiles on the NAIC Web Site, which do not have judgement.  However, this may cause trouble</t>
  </si>
  <si>
    <t xml:space="preserve">    in some circumstances.</t>
  </si>
  <si>
    <t>If less than 10 years of positive earnings and sales are included in the data, some calculations may</t>
  </si>
  <si>
    <t xml:space="preserve">    display errors in Excel (#NUM! or #DIV/0!).</t>
  </si>
  <si>
    <t>You may need to widen columns if ##### appear in any cells.</t>
  </si>
  <si>
    <t>by Douglas Gerlach</t>
  </si>
  <si>
    <t>gerlach@better-investing.org</t>
  </si>
  <si>
    <t>MCDONALDS CORP</t>
  </si>
  <si>
    <t>MCD</t>
  </si>
  <si>
    <t>NYSE</t>
  </si>
  <si>
    <t>S</t>
  </si>
  <si>
    <t>SPC</t>
  </si>
  <si>
    <t>EATING PLACES</t>
  </si>
  <si>
    <t>A+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</si>
</sst>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  <numFmt numFmtId="165" formatCode="0.0"/>
    <numFmt numFmtId="166" formatCode="0.0%"/>
    <numFmt numFmtId="167" formatCode="&quot;$&quot;#,##0.0_);\(&quot;$&quot;#,##0.0\)"/>
    <numFmt numFmtId="168" formatCode="General_)"/>
    <numFmt numFmtId="169" formatCode="#,##0.0_);[Red]\(#,##0.0\)"/>
    <numFmt numFmtId="170" formatCode="0.0000"/>
    <numFmt numFmtId="171" formatCode="0.000"/>
    <numFmt numFmtId="172" formatCode="0.000000"/>
    <numFmt numFmtId="173" formatCode="0.0000000"/>
    <numFmt numFmtId="174" formatCode="0.00000"/>
    <numFmt numFmtId="175" formatCode="0.0000000000"/>
    <numFmt numFmtId="176" formatCode="0.000000000"/>
    <numFmt numFmtId="177" formatCode="0.00000000"/>
    <numFmt numFmtId="178" formatCode="&quot;$&quot;0.000"/>
    <numFmt numFmtId="179" formatCode="&quot;$&quot;#,##0.000_);[Red]\(&quot;$&quot;#,##0.000\)"/>
    <numFmt numFmtId="180" formatCode="&quot;$&quot;#,##0.0000_);[Red]\(&quot;$&quot;#,##0.0000\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_(* #,##0.0_);_(* \(#,##0.0\);_(* &quot;-&quot;??_);_(@_)"/>
    <numFmt numFmtId="185" formatCode="_(&quot;$&quot;* #,##0_);_(&quot;$&quot;* \(#,##0\);_(&quot;$&quot;* &quot;-&quot;??_);_(@_)"/>
    <numFmt numFmtId="186" formatCode="_(* #,##0.000_);_(* \(#,##0.000\);_(* &quot;-&quot;??_);_(@_)"/>
    <numFmt numFmtId="187" formatCode="#,##0.0"/>
    <numFmt numFmtId="188" formatCode="_(* #,##0_);_(* \(#,##0\);_(* &quot;-&quot;??_);_(@_)"/>
    <numFmt numFmtId="189" formatCode="#,##0.000_);[Red]\(#,##0.000\)"/>
    <numFmt numFmtId="190" formatCode="#,##0.0000_);[Red]\(#,##0.0000\)"/>
    <numFmt numFmtId="191" formatCode="#,##0.00000_);[Red]\(#,##0.00000\)"/>
    <numFmt numFmtId="192" formatCode="0.000%"/>
    <numFmt numFmtId="193" formatCode="0.0000%"/>
    <numFmt numFmtId="194" formatCode="0.00000%"/>
    <numFmt numFmtId="195" formatCode="&quot;$&quot;0.0"/>
    <numFmt numFmtId="196" formatCode="0.0%;[Red]0.0%;"/>
    <numFmt numFmtId="197" formatCode="0.0%;[Red]\(0.0%;\)"/>
    <numFmt numFmtId="198" formatCode="0.0%;[Red]\(0.0%\)"/>
  </numFmts>
  <fonts count="28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sz val="8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u val="single"/>
      <sz val="9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Univers Condensed"/>
      <family val="2"/>
    </font>
    <font>
      <b/>
      <sz val="9"/>
      <name val="Univers Condensed"/>
      <family val="2"/>
    </font>
    <font>
      <sz val="9"/>
      <name val="Courier New"/>
      <family val="0"/>
    </font>
    <font>
      <sz val="9"/>
      <name val="Arial"/>
      <family val="0"/>
    </font>
    <font>
      <b/>
      <sz val="10"/>
      <name val="Arial"/>
      <family val="2"/>
    </font>
    <font>
      <sz val="9"/>
      <name val="Arial Narrow"/>
      <family val="0"/>
    </font>
    <font>
      <sz val="8"/>
      <color indexed="17"/>
      <name val="Arial"/>
      <family val="0"/>
    </font>
    <font>
      <sz val="9"/>
      <color indexed="17"/>
      <name val="MS Sans Serif"/>
      <family val="2"/>
    </font>
    <font>
      <b/>
      <u val="single"/>
      <sz val="11"/>
      <color indexed="17"/>
      <name val="MS Sans Serif"/>
      <family val="2"/>
    </font>
    <font>
      <b/>
      <sz val="9"/>
      <color indexed="17"/>
      <name val="MS Sans Serif"/>
      <family val="0"/>
    </font>
    <font>
      <b/>
      <u val="single"/>
      <sz val="9"/>
      <color indexed="17"/>
      <name val="MS Sans Serif"/>
      <family val="2"/>
    </font>
    <font>
      <i/>
      <sz val="9"/>
      <color indexed="17"/>
      <name val="MS Sans Serif"/>
      <family val="0"/>
    </font>
    <font>
      <b/>
      <sz val="7"/>
      <color indexed="17"/>
      <name val="MS Sans Serif"/>
      <family val="2"/>
    </font>
    <font>
      <i/>
      <sz val="8"/>
      <color indexed="17"/>
      <name val="MS Sans Serif"/>
      <family val="2"/>
    </font>
    <font>
      <b/>
      <sz val="9"/>
      <color indexed="17"/>
      <name val="Arial"/>
      <family val="2"/>
    </font>
    <font>
      <u val="single"/>
      <sz val="9"/>
      <color indexed="17"/>
      <name val="MS Sans Serif"/>
      <family val="2"/>
    </font>
    <font>
      <sz val="9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52" applyFont="1" applyFill="1" applyAlignment="1" applyProtection="1">
      <alignment horizontal="left"/>
      <protection locked="0"/>
    </xf>
    <xf numFmtId="0" fontId="7" fillId="0" borderId="0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right"/>
      <protection/>
    </xf>
    <xf numFmtId="2" fontId="6" fillId="0" borderId="0" xfId="52" applyNumberFormat="1" applyFont="1" applyFill="1" applyBorder="1">
      <alignment/>
      <protection/>
    </xf>
    <xf numFmtId="0" fontId="6" fillId="0" borderId="0" xfId="52" applyFont="1" applyFill="1" applyProtection="1">
      <alignment/>
      <protection locked="0"/>
    </xf>
    <xf numFmtId="0" fontId="6" fillId="0" borderId="0" xfId="52" applyFont="1" applyFill="1" applyAlignment="1" applyProtection="1" quotePrefix="1">
      <alignment horizontal="left"/>
      <protection locked="0"/>
    </xf>
    <xf numFmtId="165" fontId="6" fillId="0" borderId="1" xfId="55" applyNumberFormat="1" applyFont="1" applyBorder="1">
      <alignment/>
      <protection/>
    </xf>
    <xf numFmtId="165" fontId="6" fillId="0" borderId="2" xfId="55" applyNumberFormat="1" applyFont="1" applyBorder="1">
      <alignment/>
      <protection/>
    </xf>
    <xf numFmtId="2" fontId="6" fillId="0" borderId="1" xfId="55" applyNumberFormat="1" applyFont="1" applyBorder="1">
      <alignment/>
      <protection/>
    </xf>
    <xf numFmtId="2" fontId="6" fillId="0" borderId="2" xfId="55" applyNumberFormat="1" applyFont="1" applyBorder="1">
      <alignment/>
      <protection/>
    </xf>
    <xf numFmtId="2" fontId="6" fillId="0" borderId="3" xfId="55" applyNumberFormat="1" applyFont="1" applyBorder="1">
      <alignment/>
      <protection/>
    </xf>
    <xf numFmtId="2" fontId="6" fillId="0" borderId="4" xfId="55" applyNumberFormat="1" applyFont="1" applyBorder="1">
      <alignment/>
      <protection/>
    </xf>
    <xf numFmtId="166" fontId="6" fillId="0" borderId="0" xfId="59" applyNumberFormat="1" applyFont="1" applyBorder="1" applyAlignment="1">
      <alignment/>
    </xf>
    <xf numFmtId="2" fontId="6" fillId="0" borderId="0" xfId="59" applyNumberFormat="1" applyFont="1" applyBorder="1" applyAlignment="1">
      <alignment horizontal="right"/>
    </xf>
    <xf numFmtId="166" fontId="6" fillId="0" borderId="0" xfId="59" applyNumberFormat="1" applyFont="1" applyBorder="1" applyAlignment="1">
      <alignment horizontal="right"/>
    </xf>
    <xf numFmtId="165" fontId="6" fillId="0" borderId="0" xfId="59" applyNumberFormat="1" applyFont="1" applyBorder="1" applyAlignment="1">
      <alignment horizontal="right"/>
    </xf>
    <xf numFmtId="8" fontId="6" fillId="0" borderId="0" xfId="47" applyFont="1" applyAlignment="1">
      <alignment horizontal="left"/>
    </xf>
    <xf numFmtId="40" fontId="6" fillId="0" borderId="1" xfId="55" applyNumberFormat="1" applyFont="1" applyBorder="1" applyAlignment="1">
      <alignment horizontal="center"/>
      <protection/>
    </xf>
    <xf numFmtId="169" fontId="6" fillId="0" borderId="1" xfId="55" applyNumberFormat="1" applyFont="1" applyBorder="1" applyAlignment="1">
      <alignment horizontal="center"/>
      <protection/>
    </xf>
    <xf numFmtId="2" fontId="6" fillId="0" borderId="1" xfId="55" applyNumberFormat="1" applyFont="1" applyBorder="1" applyAlignment="1">
      <alignment horizontal="center"/>
      <protection/>
    </xf>
    <xf numFmtId="198" fontId="6" fillId="0" borderId="1" xfId="59" applyNumberFormat="1" applyFont="1" applyBorder="1" applyAlignment="1">
      <alignment horizontal="center"/>
    </xf>
    <xf numFmtId="198" fontId="6" fillId="0" borderId="2" xfId="59" applyNumberFormat="1" applyFont="1" applyBorder="1" applyAlignment="1">
      <alignment horizontal="center"/>
    </xf>
    <xf numFmtId="2" fontId="6" fillId="0" borderId="5" xfId="55" applyNumberFormat="1" applyFont="1" applyBorder="1" applyAlignment="1">
      <alignment horizontal="center"/>
      <protection/>
    </xf>
    <xf numFmtId="169" fontId="6" fillId="0" borderId="5" xfId="55" applyNumberFormat="1" applyFont="1" applyBorder="1" applyAlignment="1">
      <alignment horizontal="center"/>
      <protection/>
    </xf>
    <xf numFmtId="166" fontId="6" fillId="0" borderId="5" xfId="59" applyNumberFormat="1" applyFont="1" applyBorder="1" applyAlignment="1">
      <alignment horizontal="center"/>
    </xf>
    <xf numFmtId="165" fontId="6" fillId="0" borderId="0" xfId="55" applyNumberFormat="1" applyFont="1" applyAlignment="1">
      <alignment horizontal="left"/>
      <protection/>
    </xf>
    <xf numFmtId="165" fontId="6" fillId="0" borderId="0" xfId="55" applyNumberFormat="1" applyFont="1" applyBorder="1" applyAlignment="1">
      <alignment horizontal="left"/>
      <protection/>
    </xf>
    <xf numFmtId="165" fontId="8" fillId="0" borderId="0" xfId="55" applyNumberFormat="1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8" fontId="8" fillId="0" borderId="0" xfId="47" applyFont="1" applyFill="1" applyBorder="1" applyAlignment="1" applyProtection="1">
      <alignment/>
      <protection locked="0"/>
    </xf>
    <xf numFmtId="8" fontId="8" fillId="0" borderId="0" xfId="47" applyFont="1" applyFill="1" applyBorder="1" applyAlignment="1" applyProtection="1">
      <alignment horizontal="center"/>
      <protection locked="0"/>
    </xf>
    <xf numFmtId="7" fontId="8" fillId="0" borderId="0" xfId="55" applyNumberFormat="1" applyFont="1" applyAlignment="1">
      <alignment horizontal="center"/>
      <protection/>
    </xf>
    <xf numFmtId="8" fontId="8" fillId="0" borderId="0" xfId="47" applyNumberFormat="1" applyFont="1" applyFill="1" applyBorder="1" applyAlignment="1" applyProtection="1">
      <alignment horizontal="right"/>
      <protection locked="0"/>
    </xf>
    <xf numFmtId="8" fontId="8" fillId="0" borderId="0" xfId="47" applyNumberFormat="1" applyFont="1" applyFill="1" applyBorder="1" applyAlignment="1" applyProtection="1">
      <alignment/>
      <protection locked="0"/>
    </xf>
    <xf numFmtId="8" fontId="8" fillId="0" borderId="0" xfId="55" applyNumberFormat="1" applyFont="1" applyFill="1" applyBorder="1" applyProtection="1">
      <alignment/>
      <protection locked="0"/>
    </xf>
    <xf numFmtId="164" fontId="8" fillId="0" borderId="0" xfId="55" applyNumberFormat="1" applyFont="1" applyFill="1" applyBorder="1" applyProtection="1">
      <alignment/>
      <protection locked="0"/>
    </xf>
    <xf numFmtId="165" fontId="8" fillId="0" borderId="0" xfId="55" applyNumberFormat="1" applyFont="1" applyFill="1" applyBorder="1" applyAlignment="1">
      <alignment horizontal="right"/>
      <protection/>
    </xf>
    <xf numFmtId="166" fontId="8" fillId="0" borderId="0" xfId="55" applyNumberFormat="1" applyFont="1" applyFill="1" applyBorder="1" applyAlignment="1">
      <alignment horizontal="centerContinuous"/>
      <protection/>
    </xf>
    <xf numFmtId="166" fontId="8" fillId="0" borderId="0" xfId="55" applyNumberFormat="1" applyFont="1" applyFill="1" applyBorder="1" applyAlignment="1">
      <alignment horizontal="right"/>
      <protection/>
    </xf>
    <xf numFmtId="166" fontId="8" fillId="0" borderId="0" xfId="59" applyNumberFormat="1" applyFont="1" applyFill="1" applyBorder="1" applyAlignment="1" applyProtection="1">
      <alignment horizontal="right"/>
      <protection locked="0"/>
    </xf>
    <xf numFmtId="166" fontId="8" fillId="0" borderId="0" xfId="55" applyNumberFormat="1" applyFont="1">
      <alignment/>
      <protection/>
    </xf>
    <xf numFmtId="0" fontId="13" fillId="0" borderId="0" xfId="57" applyNumberFormat="1" applyFont="1" applyFill="1" applyBorder="1" applyAlignment="1">
      <alignment horizontal="left"/>
      <protection/>
    </xf>
    <xf numFmtId="0" fontId="13" fillId="0" borderId="0" xfId="57" applyFont="1" applyFill="1" applyBorder="1" applyAlignment="1">
      <alignment horizontal="left"/>
      <protection/>
    </xf>
    <xf numFmtId="2" fontId="13" fillId="0" borderId="0" xfId="57" applyNumberFormat="1" applyFont="1" applyFill="1" applyBorder="1" applyAlignment="1">
      <alignment horizontal="left"/>
      <protection/>
    </xf>
    <xf numFmtId="0" fontId="13" fillId="0" borderId="0" xfId="57" applyFont="1" applyFill="1" applyBorder="1" applyAlignment="1" applyProtection="1">
      <alignment horizontal="left"/>
      <protection locked="0"/>
    </xf>
    <xf numFmtId="0" fontId="14" fillId="0" borderId="0" xfId="57" applyFont="1" applyFill="1" applyBorder="1" applyAlignment="1">
      <alignment horizontal="left"/>
      <protection/>
    </xf>
    <xf numFmtId="14" fontId="13" fillId="0" borderId="0" xfId="57" applyNumberFormat="1" applyFont="1" applyFill="1" applyBorder="1" applyAlignment="1" applyProtection="1">
      <alignment horizontal="left"/>
      <protection locked="0"/>
    </xf>
    <xf numFmtId="164" fontId="13" fillId="0" borderId="0" xfId="57" applyNumberFormat="1" applyFont="1" applyFill="1" applyBorder="1" applyAlignment="1" applyProtection="1">
      <alignment horizontal="left"/>
      <protection locked="0"/>
    </xf>
    <xf numFmtId="169" fontId="13" fillId="0" borderId="0" xfId="31" applyNumberFormat="1" applyFont="1" applyFill="1" applyBorder="1" applyAlignment="1" applyProtection="1">
      <alignment horizontal="left"/>
      <protection locked="0"/>
    </xf>
    <xf numFmtId="164" fontId="13" fillId="0" borderId="0" xfId="49" applyNumberFormat="1" applyFont="1" applyFill="1" applyBorder="1" applyAlignment="1" applyProtection="1">
      <alignment horizontal="left"/>
      <protection locked="0"/>
    </xf>
    <xf numFmtId="165" fontId="13" fillId="0" borderId="0" xfId="31" applyNumberFormat="1" applyFont="1" applyFill="1" applyBorder="1" applyAlignment="1" applyProtection="1">
      <alignment horizontal="left"/>
      <protection locked="0"/>
    </xf>
    <xf numFmtId="38" fontId="13" fillId="0" borderId="0" xfId="31" applyNumberFormat="1" applyFont="1" applyFill="1" applyBorder="1" applyAlignment="1" applyProtection="1">
      <alignment horizontal="left"/>
      <protection locked="0"/>
    </xf>
    <xf numFmtId="195" fontId="13" fillId="0" borderId="0" xfId="49" applyNumberFormat="1" applyFont="1" applyFill="1" applyBorder="1" applyAlignment="1" applyProtection="1">
      <alignment horizontal="left"/>
      <protection locked="0"/>
    </xf>
    <xf numFmtId="0" fontId="5" fillId="0" borderId="0" xfId="57" applyFont="1" applyFill="1" applyBorder="1" applyAlignment="1">
      <alignment horizontal="left"/>
      <protection/>
    </xf>
    <xf numFmtId="166" fontId="13" fillId="0" borderId="0" xfId="59" applyNumberFormat="1" applyFont="1" applyFill="1" applyBorder="1" applyAlignment="1" applyProtection="1">
      <alignment horizontal="left"/>
      <protection locked="0"/>
    </xf>
    <xf numFmtId="8" fontId="13" fillId="0" borderId="0" xfId="49" applyNumberFormat="1" applyFont="1" applyFill="1" applyBorder="1" applyAlignment="1" applyProtection="1">
      <alignment horizontal="left"/>
      <protection locked="0"/>
    </xf>
    <xf numFmtId="165" fontId="13" fillId="0" borderId="0" xfId="57" applyNumberFormat="1" applyFont="1" applyFill="1" applyBorder="1" applyAlignment="1">
      <alignment horizontal="left"/>
      <protection/>
    </xf>
    <xf numFmtId="166" fontId="13" fillId="0" borderId="0" xfId="59" applyNumberFormat="1" applyFont="1" applyFill="1" applyBorder="1" applyAlignment="1">
      <alignment horizontal="left"/>
    </xf>
    <xf numFmtId="165" fontId="13" fillId="0" borderId="0" xfId="59" applyNumberFormat="1" applyFont="1" applyFill="1" applyBorder="1" applyAlignment="1">
      <alignment horizontal="left"/>
    </xf>
    <xf numFmtId="2" fontId="13" fillId="0" borderId="0" xfId="59" applyNumberFormat="1" applyFont="1" applyFill="1" applyBorder="1" applyAlignment="1">
      <alignment horizontal="left"/>
    </xf>
    <xf numFmtId="0" fontId="5" fillId="0" borderId="0" xfId="57">
      <alignment/>
      <protection/>
    </xf>
    <xf numFmtId="166" fontId="13" fillId="0" borderId="0" xfId="57" applyNumberFormat="1" applyFont="1" applyFill="1" applyBorder="1" applyAlignment="1">
      <alignment horizontal="left"/>
      <protection/>
    </xf>
    <xf numFmtId="0" fontId="13" fillId="0" borderId="0" xfId="57" applyNumberFormat="1" applyFont="1" applyFill="1" applyBorder="1" applyAlignment="1">
      <alignment horizontal="left"/>
      <protection/>
    </xf>
    <xf numFmtId="8" fontId="13" fillId="0" borderId="0" xfId="49" applyFont="1" applyFill="1" applyBorder="1" applyAlignment="1">
      <alignment horizontal="left"/>
    </xf>
    <xf numFmtId="0" fontId="5" fillId="0" borderId="0" xfId="57" applyFont="1">
      <alignment/>
      <protection/>
    </xf>
    <xf numFmtId="7" fontId="13" fillId="0" borderId="0" xfId="57" applyNumberFormat="1" applyFont="1" applyFill="1" applyBorder="1" applyAlignment="1">
      <alignment horizontal="left"/>
      <protection/>
    </xf>
    <xf numFmtId="0" fontId="5" fillId="0" borderId="0" xfId="57" applyFont="1" applyFill="1" applyBorder="1">
      <alignment/>
      <protection/>
    </xf>
    <xf numFmtId="164" fontId="13" fillId="0" borderId="0" xfId="57" applyNumberFormat="1" applyFont="1" applyFill="1" applyBorder="1" applyAlignment="1">
      <alignment horizontal="left"/>
      <protection/>
    </xf>
    <xf numFmtId="8" fontId="13" fillId="0" borderId="0" xfId="49" applyFont="1" applyFill="1" applyBorder="1" applyAlignment="1" applyProtection="1">
      <alignment horizontal="left"/>
      <protection locked="0"/>
    </xf>
    <xf numFmtId="8" fontId="13" fillId="0" borderId="0" xfId="49" applyFont="1" applyFill="1" applyBorder="1" applyAlignment="1">
      <alignment horizontal="left"/>
    </xf>
    <xf numFmtId="165" fontId="13" fillId="0" borderId="0" xfId="57" applyNumberFormat="1" applyFont="1" applyFill="1" applyBorder="1" applyAlignment="1">
      <alignment horizontal="left"/>
      <protection/>
    </xf>
    <xf numFmtId="8" fontId="13" fillId="0" borderId="0" xfId="57" applyNumberFormat="1" applyFont="1" applyFill="1" applyBorder="1" applyAlignment="1">
      <alignment horizontal="left"/>
      <protection/>
    </xf>
    <xf numFmtId="0" fontId="13" fillId="0" borderId="0" xfId="57" applyFont="1" applyFill="1" applyAlignment="1">
      <alignment horizontal="left"/>
      <protection/>
    </xf>
    <xf numFmtId="0" fontId="13" fillId="0" borderId="0" xfId="57" applyNumberFormat="1" applyFont="1" applyFill="1" applyAlignment="1">
      <alignment horizontal="left"/>
      <protection/>
    </xf>
    <xf numFmtId="166" fontId="13" fillId="0" borderId="0" xfId="57" applyNumberFormat="1" applyFont="1" applyFill="1" applyAlignment="1">
      <alignment horizontal="left"/>
      <protection/>
    </xf>
    <xf numFmtId="0" fontId="15" fillId="0" borderId="0" xfId="51" applyFont="1" applyAlignment="1">
      <alignment horizontal="right"/>
      <protection/>
    </xf>
    <xf numFmtId="9" fontId="15" fillId="0" borderId="0" xfId="51" applyNumberFormat="1" applyFont="1" applyBorder="1">
      <alignment/>
      <protection/>
    </xf>
    <xf numFmtId="0" fontId="15" fillId="0" borderId="0" xfId="51" applyFont="1">
      <alignment/>
      <protection/>
    </xf>
    <xf numFmtId="0" fontId="9" fillId="0" borderId="6" xfId="51" applyFont="1" applyBorder="1" applyAlignment="1" applyProtection="1">
      <alignment horizontal="right"/>
      <protection/>
    </xf>
    <xf numFmtId="165" fontId="9" fillId="0" borderId="0" xfId="25" applyNumberFormat="1" applyFont="1" applyBorder="1" applyAlignment="1">
      <alignment horizontal="right"/>
    </xf>
    <xf numFmtId="2" fontId="9" fillId="0" borderId="0" xfId="25" applyNumberFormat="1" applyFont="1" applyBorder="1" applyAlignment="1">
      <alignment horizontal="right"/>
    </xf>
    <xf numFmtId="2" fontId="16" fillId="0" borderId="0" xfId="51" applyNumberFormat="1" applyFont="1" applyBorder="1" applyAlignment="1" applyProtection="1">
      <alignment horizontal="center"/>
      <protection/>
    </xf>
    <xf numFmtId="0" fontId="9" fillId="0" borderId="0" xfId="51" applyFont="1">
      <alignment/>
      <protection/>
    </xf>
    <xf numFmtId="0" fontId="9" fillId="0" borderId="0" xfId="51" applyFont="1" applyAlignment="1">
      <alignment horizontal="right"/>
      <protection/>
    </xf>
    <xf numFmtId="2" fontId="9" fillId="0" borderId="0" xfId="51" applyNumberFormat="1" applyFont="1" applyAlignment="1">
      <alignment horizontal="right"/>
      <protection/>
    </xf>
    <xf numFmtId="181" fontId="9" fillId="0" borderId="0" xfId="51" applyNumberFormat="1" applyFont="1" applyAlignment="1">
      <alignment horizontal="right"/>
      <protection/>
    </xf>
    <xf numFmtId="0" fontId="9" fillId="0" borderId="0" xfId="51" applyFont="1" applyBorder="1">
      <alignment/>
      <protection/>
    </xf>
    <xf numFmtId="0" fontId="5" fillId="0" borderId="0" xfId="51">
      <alignment/>
      <protection/>
    </xf>
    <xf numFmtId="0" fontId="9" fillId="0" borderId="0" xfId="51" applyFont="1" applyAlignment="1">
      <alignment horizontal="left"/>
      <protection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17" fillId="2" borderId="0" xfId="55" applyFont="1" applyFill="1">
      <alignment/>
      <protection/>
    </xf>
    <xf numFmtId="0" fontId="18" fillId="2" borderId="0" xfId="55" applyFont="1" applyFill="1">
      <alignment/>
      <protection/>
    </xf>
    <xf numFmtId="0" fontId="18" fillId="2" borderId="0" xfId="55" applyFont="1" applyFill="1" applyBorder="1">
      <alignment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0" xfId="55" applyFont="1" applyBorder="1">
      <alignment/>
      <protection/>
    </xf>
    <xf numFmtId="0" fontId="19" fillId="0" borderId="0" xfId="55" applyFont="1" applyBorder="1" applyAlignment="1">
      <alignment horizontal="left"/>
      <protection/>
    </xf>
    <xf numFmtId="2" fontId="18" fillId="0" borderId="0" xfId="55" applyNumberFormat="1" applyFont="1" applyBorder="1">
      <alignment/>
      <protection/>
    </xf>
    <xf numFmtId="0" fontId="20" fillId="0" borderId="0" xfId="55" applyFont="1" applyBorder="1" applyAlignment="1">
      <alignment horizontal="right"/>
      <protection/>
    </xf>
    <xf numFmtId="0" fontId="21" fillId="0" borderId="0" xfId="55" applyFont="1" applyBorder="1" applyAlignment="1">
      <alignment horizontal="left"/>
      <protection/>
    </xf>
    <xf numFmtId="0" fontId="22" fillId="0" borderId="0" xfId="55" applyFon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18" fillId="0" borderId="0" xfId="55" applyFont="1" applyBorder="1" applyAlignment="1">
      <alignment horizontal="left"/>
      <protection/>
    </xf>
    <xf numFmtId="0" fontId="21" fillId="0" borderId="0" xfId="55" applyFont="1" applyBorder="1">
      <alignment/>
      <protection/>
    </xf>
    <xf numFmtId="0" fontId="18" fillId="0" borderId="0" xfId="55" applyFont="1" applyBorder="1" applyAlignment="1">
      <alignment horizontal="right"/>
      <protection/>
    </xf>
    <xf numFmtId="0" fontId="21" fillId="0" borderId="0" xfId="55" applyFont="1" applyBorder="1" applyAlignment="1">
      <alignment horizontal="right"/>
      <protection/>
    </xf>
    <xf numFmtId="0" fontId="19" fillId="0" borderId="0" xfId="55" applyFont="1" applyBorder="1">
      <alignment/>
      <protection/>
    </xf>
    <xf numFmtId="0" fontId="20" fillId="0" borderId="7" xfId="55" applyFont="1" applyBorder="1" applyAlignment="1">
      <alignment horizontal="left"/>
      <protection/>
    </xf>
    <xf numFmtId="0" fontId="20" fillId="0" borderId="5" xfId="55" applyFont="1" applyBorder="1">
      <alignment/>
      <protection/>
    </xf>
    <xf numFmtId="0" fontId="20" fillId="0" borderId="8" xfId="55" applyFont="1" applyBorder="1">
      <alignment/>
      <protection/>
    </xf>
    <xf numFmtId="0" fontId="20" fillId="0" borderId="0" xfId="55" applyFont="1" applyBorder="1">
      <alignment/>
      <protection/>
    </xf>
    <xf numFmtId="0" fontId="20" fillId="0" borderId="9" xfId="55" applyFont="1" applyBorder="1" applyAlignment="1">
      <alignment horizontal="right"/>
      <protection/>
    </xf>
    <xf numFmtId="165" fontId="18" fillId="0" borderId="0" xfId="55" applyNumberFormat="1" applyFont="1" applyBorder="1">
      <alignment/>
      <protection/>
    </xf>
    <xf numFmtId="0" fontId="20" fillId="0" borderId="10" xfId="55" applyFont="1" applyBorder="1" applyAlignment="1">
      <alignment horizontal="right"/>
      <protection/>
    </xf>
    <xf numFmtId="0" fontId="20" fillId="0" borderId="0" xfId="55" applyFont="1" applyBorder="1" applyAlignment="1">
      <alignment horizontal="right"/>
      <protection/>
    </xf>
    <xf numFmtId="0" fontId="20" fillId="0" borderId="0" xfId="55" applyFont="1" applyBorder="1" applyAlignment="1">
      <alignment horizontal="left"/>
      <protection/>
    </xf>
    <xf numFmtId="0" fontId="20" fillId="0" borderId="0" xfId="55" applyFont="1" applyBorder="1">
      <alignment/>
      <protection/>
    </xf>
    <xf numFmtId="166" fontId="18" fillId="0" borderId="0" xfId="59" applyNumberFormat="1" applyFont="1" applyBorder="1" applyAlignment="1">
      <alignment horizontal="right"/>
    </xf>
    <xf numFmtId="0" fontId="20" fillId="0" borderId="0" xfId="55" applyFont="1" applyAlignment="1">
      <alignment horizontal="center"/>
      <protection/>
    </xf>
    <xf numFmtId="0" fontId="20" fillId="0" borderId="7" xfId="55" applyFont="1" applyBorder="1" applyAlignment="1">
      <alignment horizontal="right"/>
      <protection/>
    </xf>
    <xf numFmtId="0" fontId="20" fillId="0" borderId="11" xfId="55" applyFont="1" applyBorder="1">
      <alignment/>
      <protection/>
    </xf>
    <xf numFmtId="0" fontId="23" fillId="0" borderId="11" xfId="55" applyFont="1" applyBorder="1" applyAlignment="1">
      <alignment horizontal="center"/>
      <protection/>
    </xf>
    <xf numFmtId="0" fontId="23" fillId="0" borderId="8" xfId="55" applyFont="1" applyBorder="1" applyAlignment="1">
      <alignment horizontal="center"/>
      <protection/>
    </xf>
    <xf numFmtId="0" fontId="18" fillId="2" borderId="9" xfId="55" applyFont="1" applyFill="1" applyBorder="1" applyAlignment="1">
      <alignment horizontal="right"/>
      <protection/>
    </xf>
    <xf numFmtId="0" fontId="20" fillId="3" borderId="1" xfId="55" applyFont="1" applyFill="1" applyBorder="1" applyAlignment="1">
      <alignment horizontal="center"/>
      <protection/>
    </xf>
    <xf numFmtId="0" fontId="20" fillId="3" borderId="2" xfId="55" applyFont="1" applyFill="1" applyBorder="1" applyAlignment="1">
      <alignment horizontal="center"/>
      <protection/>
    </xf>
    <xf numFmtId="0" fontId="20" fillId="0" borderId="9" xfId="55" applyFont="1" applyBorder="1" applyAlignment="1">
      <alignment horizontal="right"/>
      <protection/>
    </xf>
    <xf numFmtId="0" fontId="20" fillId="0" borderId="10" xfId="55" applyFont="1" applyBorder="1" applyAlignment="1">
      <alignment horizontal="right"/>
      <protection/>
    </xf>
    <xf numFmtId="0" fontId="24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right"/>
      <protection/>
    </xf>
    <xf numFmtId="8" fontId="18" fillId="0" borderId="0" xfId="47" applyFont="1" applyAlignment="1">
      <alignment horizontal="left"/>
    </xf>
    <xf numFmtId="0" fontId="20" fillId="0" borderId="5" xfId="55" applyFont="1" applyBorder="1" applyAlignment="1">
      <alignment horizontal="center"/>
      <protection/>
    </xf>
    <xf numFmtId="0" fontId="20" fillId="0" borderId="8" xfId="55" applyFont="1" applyBorder="1" applyAlignment="1">
      <alignment horizontal="center"/>
      <protection/>
    </xf>
    <xf numFmtId="0" fontId="20" fillId="0" borderId="0" xfId="55" applyFont="1">
      <alignment/>
      <protection/>
    </xf>
    <xf numFmtId="0" fontId="20" fillId="0" borderId="9" xfId="55" applyFont="1" applyBorder="1">
      <alignment/>
      <protection/>
    </xf>
    <xf numFmtId="0" fontId="18" fillId="3" borderId="5" xfId="55" applyFont="1" applyFill="1" applyBorder="1">
      <alignment/>
      <protection/>
    </xf>
    <xf numFmtId="0" fontId="18" fillId="3" borderId="5" xfId="55" applyFont="1" applyFill="1" applyBorder="1" applyAlignment="1">
      <alignment horizontal="center"/>
      <protection/>
    </xf>
    <xf numFmtId="0" fontId="18" fillId="3" borderId="8" xfId="55" applyFont="1" applyFill="1" applyBorder="1">
      <alignment/>
      <protection/>
    </xf>
    <xf numFmtId="0" fontId="24" fillId="0" borderId="0" xfId="55" applyFont="1" applyBorder="1" applyAlignment="1">
      <alignment horizontal="left"/>
      <protection/>
    </xf>
    <xf numFmtId="0" fontId="25" fillId="0" borderId="0" xfId="55" applyFont="1">
      <alignment/>
      <protection/>
    </xf>
    <xf numFmtId="0" fontId="18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right"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>
      <alignment/>
      <protection/>
    </xf>
    <xf numFmtId="0" fontId="18" fillId="0" borderId="0" xfId="55" applyFont="1" applyFill="1" applyBorder="1">
      <alignment/>
      <protection/>
    </xf>
    <xf numFmtId="0" fontId="20" fillId="0" borderId="0" xfId="55" applyFont="1" applyFill="1" applyBorder="1" applyAlignment="1">
      <alignment horizontal="left"/>
      <protection/>
    </xf>
    <xf numFmtId="7" fontId="26" fillId="0" borderId="0" xfId="55" applyNumberFormat="1" applyFont="1" applyAlignment="1">
      <alignment horizontal="center"/>
      <protection/>
    </xf>
    <xf numFmtId="8" fontId="18" fillId="0" borderId="0" xfId="47" applyFont="1" applyFill="1" applyBorder="1" applyAlignment="1" applyProtection="1">
      <alignment/>
      <protection locked="0"/>
    </xf>
    <xf numFmtId="8" fontId="18" fillId="0" borderId="0" xfId="47" applyFont="1" applyFill="1" applyBorder="1" applyAlignment="1">
      <alignment/>
    </xf>
    <xf numFmtId="8" fontId="20" fillId="0" borderId="0" xfId="47" applyFont="1" applyFill="1" applyBorder="1" applyAlignment="1">
      <alignment horizontal="center"/>
    </xf>
    <xf numFmtId="165" fontId="20" fillId="0" borderId="0" xfId="55" applyNumberFormat="1" applyFont="1" applyFill="1" applyBorder="1" applyAlignment="1">
      <alignment horizontal="left"/>
      <protection/>
    </xf>
    <xf numFmtId="0" fontId="17" fillId="0" borderId="0" xfId="55" applyFont="1">
      <alignment/>
      <protection/>
    </xf>
    <xf numFmtId="8" fontId="26" fillId="0" borderId="0" xfId="55" applyNumberFormat="1" applyFont="1">
      <alignment/>
      <protection/>
    </xf>
    <xf numFmtId="0" fontId="17" fillId="0" borderId="0" xfId="55" applyFont="1" applyAlignment="1">
      <alignment horizontal="centerContinuous"/>
      <protection/>
    </xf>
    <xf numFmtId="0" fontId="20" fillId="0" borderId="0" xfId="55" applyFont="1" applyAlignment="1">
      <alignment horizontal="right"/>
      <protection/>
    </xf>
    <xf numFmtId="14" fontId="17" fillId="0" borderId="0" xfId="55" applyNumberFormat="1" applyFont="1">
      <alignment/>
      <protection/>
    </xf>
    <xf numFmtId="0" fontId="27" fillId="0" borderId="0" xfId="55" applyFont="1" applyBorder="1" applyAlignment="1" applyProtection="1">
      <alignment horizontal="left"/>
      <protection locked="0"/>
    </xf>
    <xf numFmtId="14" fontId="27" fillId="0" borderId="0" xfId="55" applyNumberFormat="1" applyFont="1" applyBorder="1" applyAlignment="1" applyProtection="1">
      <alignment horizontal="left"/>
      <protection locked="0"/>
    </xf>
    <xf numFmtId="164" fontId="27" fillId="0" borderId="0" xfId="55" applyNumberFormat="1" applyFont="1" applyBorder="1" applyAlignment="1" applyProtection="1">
      <alignment horizontal="left"/>
      <protection locked="0"/>
    </xf>
    <xf numFmtId="169" fontId="27" fillId="0" borderId="0" xfId="29" applyNumberFormat="1" applyFont="1" applyBorder="1" applyAlignment="1" applyProtection="1">
      <alignment horizontal="left"/>
      <protection locked="0"/>
    </xf>
    <xf numFmtId="8" fontId="27" fillId="0" borderId="0" xfId="47" applyFont="1" applyBorder="1" applyAlignment="1" applyProtection="1">
      <alignment horizontal="left"/>
      <protection locked="0"/>
    </xf>
    <xf numFmtId="38" fontId="27" fillId="0" borderId="0" xfId="29" applyNumberFormat="1" applyFont="1" applyBorder="1" applyAlignment="1" applyProtection="1">
      <alignment horizontal="left"/>
      <protection locked="0"/>
    </xf>
    <xf numFmtId="181" fontId="27" fillId="0" borderId="0" xfId="47" applyNumberFormat="1" applyFont="1" applyBorder="1" applyAlignment="1" applyProtection="1">
      <alignment horizontal="left"/>
      <protection locked="0"/>
    </xf>
    <xf numFmtId="181" fontId="27" fillId="0" borderId="0" xfId="47" applyNumberFormat="1" applyFont="1" applyBorder="1" applyAlignment="1" applyProtection="1">
      <alignment horizontal="right"/>
      <protection locked="0"/>
    </xf>
    <xf numFmtId="166" fontId="27" fillId="0" borderId="0" xfId="59" applyNumberFormat="1" applyFont="1" applyBorder="1" applyAlignment="1" applyProtection="1">
      <alignment horizontal="right"/>
      <protection locked="0"/>
    </xf>
    <xf numFmtId="8" fontId="27" fillId="0" borderId="0" xfId="47" applyNumberFormat="1" applyFont="1" applyBorder="1" applyAlignment="1" applyProtection="1">
      <alignment horizontal="right"/>
      <protection locked="0"/>
    </xf>
    <xf numFmtId="169" fontId="6" fillId="2" borderId="1" xfId="55" applyNumberFormat="1" applyFont="1" applyFill="1" applyBorder="1">
      <alignment/>
      <protection/>
    </xf>
    <xf numFmtId="198" fontId="6" fillId="0" borderId="1" xfId="59" applyNumberFormat="1" applyFont="1" applyBorder="1" applyAlignment="1">
      <alignment/>
    </xf>
    <xf numFmtId="40" fontId="6" fillId="2" borderId="1" xfId="55" applyNumberFormat="1" applyFont="1" applyFill="1" applyBorder="1">
      <alignment/>
      <protection/>
    </xf>
    <xf numFmtId="198" fontId="6" fillId="0" borderId="3" xfId="59" applyNumberFormat="1" applyFont="1" applyBorder="1" applyAlignment="1">
      <alignment/>
    </xf>
    <xf numFmtId="166" fontId="7" fillId="0" borderId="1" xfId="55" applyNumberFormat="1" applyFont="1" applyBorder="1" applyAlignment="1">
      <alignment horizontal="center"/>
      <protection/>
    </xf>
    <xf numFmtId="0" fontId="7" fillId="0" borderId="2" xfId="55" applyFont="1" applyBorder="1" applyAlignment="1">
      <alignment horizontal="center"/>
      <protection/>
    </xf>
    <xf numFmtId="166" fontId="7" fillId="0" borderId="3" xfId="55" applyNumberFormat="1" applyFont="1" applyBorder="1" applyAlignment="1">
      <alignment horizontal="center"/>
      <protection/>
    </xf>
    <xf numFmtId="0" fontId="7" fillId="0" borderId="4" xfId="55" applyFont="1" applyBorder="1" applyAlignment="1">
      <alignment horizontal="center"/>
      <protection/>
    </xf>
    <xf numFmtId="2" fontId="8" fillId="0" borderId="0" xfId="55" applyNumberFormat="1" applyFont="1" applyAlignment="1">
      <alignment horizontal="center"/>
      <protection/>
    </xf>
    <xf numFmtId="0" fontId="1" fillId="0" borderId="0" xfId="0" applyFont="1" applyAlignment="1">
      <alignment/>
    </xf>
    <xf numFmtId="184" fontId="9" fillId="0" borderId="0" xfId="15" applyNumberFormat="1" applyFont="1" applyAlignment="1">
      <alignment horizontal="right"/>
    </xf>
  </cellXfs>
  <cellStyles count="46">
    <cellStyle name="Normal" xfId="0"/>
    <cellStyle name="Comma" xfId="15"/>
    <cellStyle name="Comma [0]" xfId="16"/>
    <cellStyle name="Comma [0]_Chart calculations" xfId="17"/>
    <cellStyle name="Comma [0]_Company Info" xfId="18"/>
    <cellStyle name="Comma [0]_Module1 (2)" xfId="19"/>
    <cellStyle name="Comma [0]_Open SSG Macro" xfId="20"/>
    <cellStyle name="Comma [0]_Stock Selection Guide" xfId="21"/>
    <cellStyle name="Comma [0]_Text Save Macro" xfId="22"/>
    <cellStyle name="Comma [0]_Text Version" xfId="23"/>
    <cellStyle name="Comma [0]_Visual Analysis" xfId="24"/>
    <cellStyle name="Comma_Chart calculations" xfId="25"/>
    <cellStyle name="Comma_Company Info" xfId="26"/>
    <cellStyle name="Comma_Module1 (2)" xfId="27"/>
    <cellStyle name="Comma_Open SSG Macro" xfId="28"/>
    <cellStyle name="Comma_Stock Selection Guide" xfId="29"/>
    <cellStyle name="Comma_Text Save Macro" xfId="30"/>
    <cellStyle name="Comma_Text Version" xfId="31"/>
    <cellStyle name="Comma_Visual Analysis" xfId="32"/>
    <cellStyle name="Currency" xfId="33"/>
    <cellStyle name="Currency [0]" xfId="34"/>
    <cellStyle name="Currency [0]_Chart calculations" xfId="35"/>
    <cellStyle name="Currency [0]_Company Info" xfId="36"/>
    <cellStyle name="Currency [0]_Module1 (2)" xfId="37"/>
    <cellStyle name="Currency [0]_Open SSG Macro" xfId="38"/>
    <cellStyle name="Currency [0]_Stock Selection Guide" xfId="39"/>
    <cellStyle name="Currency [0]_Text Save Macro" xfId="40"/>
    <cellStyle name="Currency [0]_Text Version" xfId="41"/>
    <cellStyle name="Currency [0]_Visual Analysis" xfId="42"/>
    <cellStyle name="Currency_Chart calculations" xfId="43"/>
    <cellStyle name="Currency_Company Info" xfId="44"/>
    <cellStyle name="Currency_Module1 (2)" xfId="45"/>
    <cellStyle name="Currency_Open SSG Macro" xfId="46"/>
    <cellStyle name="Currency_Stock Selection Guide" xfId="47"/>
    <cellStyle name="Currency_Text Save Macro" xfId="48"/>
    <cellStyle name="Currency_Text Version" xfId="49"/>
    <cellStyle name="Currency_Visual Analysis" xfId="50"/>
    <cellStyle name="Normal_Chart calculations" xfId="51"/>
    <cellStyle name="Normal_Company Info" xfId="52"/>
    <cellStyle name="Normal_Module1 (2)" xfId="53"/>
    <cellStyle name="Normal_Open SSG Macro" xfId="54"/>
    <cellStyle name="Normal_Stock Selection Guide" xfId="55"/>
    <cellStyle name="Normal_Text Save Macro" xfId="56"/>
    <cellStyle name="Normal_Text Version" xfId="57"/>
    <cellStyle name="Normal_Visual Analysis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VISUAL ANALYSIS of Sales, Earnings and Price</a:t>
            </a:r>
          </a:p>
        </c:rich>
      </c:tx>
      <c:layout>
        <c:manualLayout>
          <c:xMode val="factor"/>
          <c:yMode val="factor"/>
          <c:x val="-0.22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"/>
          <c:w val="0.96675"/>
          <c:h val="0.919"/>
        </c:manualLayout>
      </c:layout>
      <c:lineChart>
        <c:grouping val="standard"/>
        <c:varyColors val="0"/>
        <c:ser>
          <c:idx val="2"/>
          <c:order val="2"/>
          <c:tx>
            <c:strRef>
              <c:f>'Chart calculations'!$H$1</c:f>
              <c:strCache>
                <c:ptCount val="1"/>
                <c:pt idx="0">
                  <c:v>EPS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calculations'!$H$2:$H$16</c:f>
              <c:numCache>
                <c:ptCount val="15"/>
                <c:pt idx="0">
                  <c:v>55.00000000000001</c:v>
                </c:pt>
                <c:pt idx="1">
                  <c:v>62</c:v>
                </c:pt>
                <c:pt idx="2">
                  <c:v>72</c:v>
                </c:pt>
                <c:pt idx="3">
                  <c:v>86</c:v>
                </c:pt>
                <c:pt idx="4">
                  <c:v>97</c:v>
                </c:pt>
                <c:pt idx="5">
                  <c:v>110.00000000000001</c:v>
                </c:pt>
                <c:pt idx="6">
                  <c:v>117</c:v>
                </c:pt>
                <c:pt idx="7">
                  <c:v>130</c:v>
                </c:pt>
                <c:pt idx="8">
                  <c:v>145</c:v>
                </c:pt>
                <c:pt idx="9">
                  <c:v>168</c:v>
                </c:pt>
                <c:pt idx="10">
                  <c:v>191.856</c:v>
                </c:pt>
                <c:pt idx="11">
                  <c:v>219.09955199999996</c:v>
                </c:pt>
                <c:pt idx="12">
                  <c:v>250.21168838399996</c:v>
                </c:pt>
                <c:pt idx="13">
                  <c:v>285.7417481345279</c:v>
                </c:pt>
                <c:pt idx="14">
                  <c:v>326.31707636963085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calculations'!$J$2:$J$16</c:f>
              <c:numCache>
                <c:ptCount val="15"/>
                <c:pt idx="0">
                  <c:v>1</c:v>
                </c:pt>
                <c:pt idx="1">
                  <c:v>1.15</c:v>
                </c:pt>
                <c:pt idx="2">
                  <c:v>1.3224999999999998</c:v>
                </c:pt>
                <c:pt idx="3">
                  <c:v>1.5208749999999995</c:v>
                </c:pt>
                <c:pt idx="4">
                  <c:v>1.7490062499999994</c:v>
                </c:pt>
                <c:pt idx="5">
                  <c:v>2.0113571874999994</c:v>
                </c:pt>
                <c:pt idx="6">
                  <c:v>2.313060765624999</c:v>
                </c:pt>
                <c:pt idx="7">
                  <c:v>2.6600198804687487</c:v>
                </c:pt>
                <c:pt idx="8">
                  <c:v>3.0590228625390607</c:v>
                </c:pt>
                <c:pt idx="9">
                  <c:v>3.5178762919199196</c:v>
                </c:pt>
                <c:pt idx="10">
                  <c:v>4.0455577357079076</c:v>
                </c:pt>
                <c:pt idx="11">
                  <c:v>4.652391396064093</c:v>
                </c:pt>
                <c:pt idx="12">
                  <c:v>5.350250105473707</c:v>
                </c:pt>
                <c:pt idx="13">
                  <c:v>6.152787621294762</c:v>
                </c:pt>
                <c:pt idx="14">
                  <c:v>7.075705764488976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'Chart calculations'!$C$1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calculations'!$C$2:$C$16</c:f>
              <c:numCache>
                <c:ptCount val="15"/>
                <c:pt idx="0">
                  <c:v>3694.75</c:v>
                </c:pt>
                <c:pt idx="1">
                  <c:v>4143.5</c:v>
                </c:pt>
                <c:pt idx="2">
                  <c:v>4853.21</c:v>
                </c:pt>
                <c:pt idx="3">
                  <c:v>5520.76</c:v>
                </c:pt>
                <c:pt idx="4">
                  <c:v>6065</c:v>
                </c:pt>
                <c:pt idx="5">
                  <c:v>6639.6</c:v>
                </c:pt>
                <c:pt idx="6">
                  <c:v>6695</c:v>
                </c:pt>
                <c:pt idx="7">
                  <c:v>7133.3</c:v>
                </c:pt>
                <c:pt idx="8">
                  <c:v>7408.1</c:v>
                </c:pt>
                <c:pt idx="9">
                  <c:v>8320.8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calculations'!$E$1</c:f>
              <c:strCache>
                <c:ptCount val="1"/>
                <c:pt idx="0">
                  <c:v>Pre-Tax Profit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calculations'!$E$2:$E$11</c:f>
              <c:numCache>
                <c:ptCount val="10"/>
                <c:pt idx="0">
                  <c:v>78.224</c:v>
                </c:pt>
                <c:pt idx="1">
                  <c:v>84.812</c:v>
                </c:pt>
                <c:pt idx="2">
                  <c:v>95.876</c:v>
                </c:pt>
                <c:pt idx="3">
                  <c:v>104.646</c:v>
                </c:pt>
                <c:pt idx="4">
                  <c:v>115.7</c:v>
                </c:pt>
                <c:pt idx="5">
                  <c:v>124.63</c:v>
                </c:pt>
                <c:pt idx="6">
                  <c:v>129.94</c:v>
                </c:pt>
                <c:pt idx="7">
                  <c:v>144.81</c:v>
                </c:pt>
                <c:pt idx="8">
                  <c:v>167.57</c:v>
                </c:pt>
                <c:pt idx="9">
                  <c:v>188.66</c:v>
                </c:pt>
              </c:numCache>
            </c:numRef>
          </c:val>
          <c:smooth val="0"/>
        </c:ser>
        <c:marker val="1"/>
        <c:axId val="13479583"/>
        <c:axId val="54207384"/>
      </c:lineChart>
      <c:lineChart>
        <c:grouping val="standard"/>
        <c:varyColors val="0"/>
        <c:ser>
          <c:idx val="4"/>
          <c:order val="0"/>
          <c:tx>
            <c:strRef>
              <c:f>'Chart calculations'!$G$1</c:f>
              <c:strCache>
                <c:ptCount val="1"/>
                <c:pt idx="0">
                  <c:v>Low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calculations'!$G$2:$G$16</c:f>
              <c:numCache>
                <c:ptCount val="15"/>
                <c:pt idx="0">
                  <c:v>5.68</c:v>
                </c:pt>
                <c:pt idx="1">
                  <c:v>8.11</c:v>
                </c:pt>
                <c:pt idx="2">
                  <c:v>7.84</c:v>
                </c:pt>
                <c:pt idx="3">
                  <c:v>10.19</c:v>
                </c:pt>
                <c:pt idx="4">
                  <c:v>11.5</c:v>
                </c:pt>
                <c:pt idx="5">
                  <c:v>12.5</c:v>
                </c:pt>
                <c:pt idx="6">
                  <c:v>13.06</c:v>
                </c:pt>
                <c:pt idx="7">
                  <c:v>19.12</c:v>
                </c:pt>
                <c:pt idx="8">
                  <c:v>22.75</c:v>
                </c:pt>
                <c:pt idx="9">
                  <c:v>25.62</c:v>
                </c:pt>
                <c:pt idx="10">
                  <c:v>39.12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calculations'!$F$1</c:f>
              <c:strCache>
                <c:ptCount val="1"/>
                <c:pt idx="0">
                  <c:v>High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calculations'!$A$2:$A$16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'Chart calculations'!$F$2:$F$16</c:f>
              <c:numCache>
                <c:ptCount val="15"/>
                <c:pt idx="0">
                  <c:v>9.08</c:v>
                </c:pt>
                <c:pt idx="1">
                  <c:v>12.79</c:v>
                </c:pt>
                <c:pt idx="2">
                  <c:v>15.28</c:v>
                </c:pt>
                <c:pt idx="3">
                  <c:v>12.75</c:v>
                </c:pt>
                <c:pt idx="4">
                  <c:v>17.44</c:v>
                </c:pt>
                <c:pt idx="5">
                  <c:v>19.25</c:v>
                </c:pt>
                <c:pt idx="6">
                  <c:v>19.94</c:v>
                </c:pt>
                <c:pt idx="7">
                  <c:v>25.19</c:v>
                </c:pt>
                <c:pt idx="8">
                  <c:v>29.56</c:v>
                </c:pt>
                <c:pt idx="9">
                  <c:v>31.37</c:v>
                </c:pt>
                <c:pt idx="10">
                  <c:v>39.12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808080"/>
              </a:solidFill>
              <a:ln w="3175">
                <a:noFill/>
              </a:ln>
            </c:spPr>
          </c:upBars>
          <c:downBars/>
        </c:upDownBars>
        <c:marker val="1"/>
        <c:axId val="18104409"/>
        <c:axId val="28721954"/>
      </c:lineChart>
      <c:catAx>
        <c:axId val="13479583"/>
        <c:scaling>
          <c:orientation val="minMax"/>
        </c:scaling>
        <c:axPos val="b"/>
        <c:majorGridlines>
          <c:spPr>
            <a:ln w="12700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8000"/>
                </a:solidFill>
              </a:defRPr>
            </a:pPr>
          </a:p>
        </c:txPr>
        <c:crossAx val="54207384"/>
        <c:crossesAt val="0.01"/>
        <c:auto val="0"/>
        <c:lblOffset val="100"/>
        <c:noMultiLvlLbl val="0"/>
      </c:catAx>
      <c:valAx>
        <c:axId val="54207384"/>
        <c:scaling>
          <c:logBase val="10"/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12700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8000"/>
                </a:solidFill>
              </a:defRPr>
            </a:pPr>
          </a:p>
        </c:txPr>
        <c:crossAx val="13479583"/>
        <c:crossesAt val="1"/>
        <c:crossBetween val="midCat"/>
        <c:dispUnits/>
        <c:minorUnit val="10"/>
      </c:valAx>
      <c:catAx>
        <c:axId val="18104409"/>
        <c:scaling>
          <c:orientation val="minMax"/>
        </c:scaling>
        <c:axPos val="b"/>
        <c:delete val="1"/>
        <c:majorTickMark val="cross"/>
        <c:minorTickMark val="none"/>
        <c:tickLblPos val="nextTo"/>
        <c:crossAx val="28721954"/>
        <c:crossesAt val="0.01"/>
        <c:auto val="0"/>
        <c:lblOffset val="100"/>
        <c:noMultiLvlLbl val="0"/>
      </c:catAx>
      <c:valAx>
        <c:axId val="28721954"/>
        <c:scaling>
          <c:logBase val="10"/>
          <c:orientation val="minMax"/>
          <c:max val="1000"/>
          <c:min val="1"/>
        </c:scaling>
        <c:axPos val="l"/>
        <c:delete val="0"/>
        <c:numFmt formatCode="&quot;$&quot;#,##0_);\(&quot;$&quot;#,##0\)" sourceLinked="0"/>
        <c:majorTickMark val="none"/>
        <c:minorTickMark val="none"/>
        <c:tickLblPos val="none"/>
        <c:spPr>
          <a:ln w="3175">
            <a:solidFill>
              <a:srgbClr val="008000"/>
            </a:solidFill>
          </a:ln>
        </c:spPr>
        <c:crossAx val="18104409"/>
        <c:crosses val="max"/>
        <c:crossBetween val="midCat"/>
        <c:dispUnits/>
        <c:majorUnit val="10"/>
        <c:minorUnit val="10"/>
      </c:valAx>
      <c:spPr>
        <a:noFill/>
        <a:ln w="12700">
          <a:solidFill>
            <a:srgbClr val="008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4575"/>
          <c:y val="0"/>
          <c:w val="0.1465"/>
          <c:h val="0.10975"/>
        </c:manualLayout>
      </c:layout>
      <c:overlay val="0"/>
      <c:spPr>
        <a:ln w="3175">
          <a:solidFill>
            <a:srgbClr val="008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8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portrait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0"/>
  <sheetViews>
    <sheetView workbookViewId="0" topLeftCell="A229">
      <selection activeCell="A1" sqref="A1"/>
    </sheetView>
  </sheetViews>
  <sheetFormatPr defaultColWidth="9.00390625" defaultRowHeight="12.75"/>
  <cols>
    <col min="1" max="1" width="16.875" style="6" customWidth="1"/>
    <col min="2" max="2" width="24.375" style="6" customWidth="1"/>
    <col min="3" max="16384" width="9.00390625" style="3" customWidth="1"/>
  </cols>
  <sheetData>
    <row r="1" spans="1:2" s="2" customFormat="1" ht="12.75">
      <c r="A1">
        <v>9.08</v>
      </c>
      <c r="B1" s="1" t="s">
        <v>0</v>
      </c>
    </row>
    <row r="2" spans="1:2" s="2" customFormat="1" ht="12.75">
      <c r="A2">
        <v>12.79</v>
      </c>
      <c r="B2" s="1" t="s">
        <v>0</v>
      </c>
    </row>
    <row r="3" spans="1:2" s="2" customFormat="1" ht="12.75">
      <c r="A3">
        <v>15.28</v>
      </c>
      <c r="B3" s="1" t="s">
        <v>0</v>
      </c>
    </row>
    <row r="4" spans="1:2" ht="12.75">
      <c r="A4">
        <v>12.75</v>
      </c>
      <c r="B4" s="1" t="s">
        <v>0</v>
      </c>
    </row>
    <row r="5" spans="1:2" ht="12.75">
      <c r="A5">
        <v>17.44</v>
      </c>
      <c r="B5" s="1" t="s">
        <v>0</v>
      </c>
    </row>
    <row r="6" spans="1:2" ht="12.75">
      <c r="A6">
        <v>19.25</v>
      </c>
      <c r="B6" s="1" t="s">
        <v>0</v>
      </c>
    </row>
    <row r="7" spans="1:2" ht="12.75">
      <c r="A7">
        <v>19.94</v>
      </c>
      <c r="B7" s="1" t="s">
        <v>0</v>
      </c>
    </row>
    <row r="8" spans="1:2" ht="12.75">
      <c r="A8">
        <v>25.19</v>
      </c>
      <c r="B8" s="1" t="s">
        <v>0</v>
      </c>
    </row>
    <row r="9" spans="1:2" ht="12.75">
      <c r="A9">
        <v>29.56</v>
      </c>
      <c r="B9" s="1" t="s">
        <v>0</v>
      </c>
    </row>
    <row r="10" spans="1:2" ht="12.75">
      <c r="A10">
        <v>31.37</v>
      </c>
      <c r="B10" s="1" t="s">
        <v>0</v>
      </c>
    </row>
    <row r="11" spans="1:2" ht="12.75">
      <c r="A11">
        <v>5.68</v>
      </c>
      <c r="B11" s="1" t="s">
        <v>1</v>
      </c>
    </row>
    <row r="12" spans="1:2" ht="12.75">
      <c r="A12">
        <v>8.11</v>
      </c>
      <c r="B12" s="1" t="s">
        <v>2</v>
      </c>
    </row>
    <row r="13" spans="1:2" ht="12.75">
      <c r="A13">
        <v>7.84</v>
      </c>
      <c r="B13" s="1" t="s">
        <v>2</v>
      </c>
    </row>
    <row r="14" spans="1:2" ht="12.75">
      <c r="A14">
        <v>10.19</v>
      </c>
      <c r="B14" s="1" t="s">
        <v>2</v>
      </c>
    </row>
    <row r="15" spans="1:2" ht="12.75">
      <c r="A15">
        <v>11.5</v>
      </c>
      <c r="B15" s="1" t="s">
        <v>2</v>
      </c>
    </row>
    <row r="16" spans="1:2" ht="12.75">
      <c r="A16">
        <v>12.5</v>
      </c>
      <c r="B16" s="1" t="s">
        <v>2</v>
      </c>
    </row>
    <row r="17" spans="1:2" ht="12.75">
      <c r="A17">
        <v>13.06</v>
      </c>
      <c r="B17" s="1" t="s">
        <v>2</v>
      </c>
    </row>
    <row r="18" spans="1:2" s="4" customFormat="1" ht="12.75">
      <c r="A18">
        <v>19.12</v>
      </c>
      <c r="B18" s="1" t="s">
        <v>2</v>
      </c>
    </row>
    <row r="19" spans="1:2" ht="12.75">
      <c r="A19">
        <v>22.75</v>
      </c>
      <c r="B19" s="1" t="s">
        <v>2</v>
      </c>
    </row>
    <row r="20" spans="1:2" ht="12.75">
      <c r="A20">
        <v>25.62</v>
      </c>
      <c r="B20" s="1" t="s">
        <v>2</v>
      </c>
    </row>
    <row r="21" spans="1:2" ht="12.75">
      <c r="A21">
        <v>3694.75</v>
      </c>
      <c r="B21" s="1" t="s">
        <v>3</v>
      </c>
    </row>
    <row r="22" spans="1:2" ht="12.75">
      <c r="A22">
        <v>4143.5</v>
      </c>
      <c r="B22" s="1" t="s">
        <v>4</v>
      </c>
    </row>
    <row r="23" spans="1:2" ht="12.75">
      <c r="A23">
        <v>4853.21</v>
      </c>
      <c r="B23" s="1" t="s">
        <v>4</v>
      </c>
    </row>
    <row r="24" spans="1:2" ht="12.75">
      <c r="A24">
        <v>5520.76</v>
      </c>
      <c r="B24" s="1" t="s">
        <v>4</v>
      </c>
    </row>
    <row r="25" spans="1:2" ht="12.75">
      <c r="A25">
        <v>6065</v>
      </c>
      <c r="B25" s="1" t="s">
        <v>4</v>
      </c>
    </row>
    <row r="26" spans="1:2" ht="12.75">
      <c r="A26">
        <v>6639.6</v>
      </c>
      <c r="B26" s="1" t="s">
        <v>4</v>
      </c>
    </row>
    <row r="27" spans="1:2" ht="12.75">
      <c r="A27">
        <v>6695</v>
      </c>
      <c r="B27" s="1" t="s">
        <v>4</v>
      </c>
    </row>
    <row r="28" spans="1:2" ht="12.75">
      <c r="A28">
        <v>7133.3</v>
      </c>
      <c r="B28" s="1" t="s">
        <v>4</v>
      </c>
    </row>
    <row r="29" spans="1:2" ht="12.75">
      <c r="A29">
        <v>7408.1</v>
      </c>
      <c r="B29" s="1" t="s">
        <v>4</v>
      </c>
    </row>
    <row r="30" spans="1:2" s="4" customFormat="1" ht="12.75">
      <c r="A30">
        <v>8320.8</v>
      </c>
      <c r="B30" s="1" t="s">
        <v>4</v>
      </c>
    </row>
    <row r="31" spans="1:2" s="5" customFormat="1" ht="12.75">
      <c r="A31">
        <v>44.64</v>
      </c>
      <c r="B31" s="1" t="s">
        <v>5</v>
      </c>
    </row>
    <row r="32" spans="1:2" ht="12.75">
      <c r="A32">
        <v>43.44</v>
      </c>
      <c r="B32" s="1" t="s">
        <v>6</v>
      </c>
    </row>
    <row r="33" spans="1:2" ht="12.75">
      <c r="A33">
        <v>42.73</v>
      </c>
      <c r="B33" s="1" t="s">
        <v>6</v>
      </c>
    </row>
    <row r="34" spans="1:2" ht="12.75">
      <c r="A34">
        <v>38.28</v>
      </c>
      <c r="B34" s="1" t="s">
        <v>6</v>
      </c>
    </row>
    <row r="35" spans="1:2" ht="12.75">
      <c r="A35">
        <v>37.17</v>
      </c>
      <c r="B35" s="1" t="s">
        <v>6</v>
      </c>
    </row>
    <row r="36" spans="1:2" ht="12.75">
      <c r="A36">
        <v>35.63</v>
      </c>
      <c r="B36" s="1" t="s">
        <v>6</v>
      </c>
    </row>
    <row r="37" spans="1:2" ht="12.75">
      <c r="A37">
        <v>33.85</v>
      </c>
      <c r="B37" s="1" t="s">
        <v>6</v>
      </c>
    </row>
    <row r="38" spans="1:2" ht="12.75">
      <c r="A38">
        <v>33.8</v>
      </c>
      <c r="B38" s="1" t="s">
        <v>6</v>
      </c>
    </row>
    <row r="39" spans="1:2" ht="12.75">
      <c r="A39">
        <v>35.4</v>
      </c>
      <c r="B39" s="1" t="s">
        <v>6</v>
      </c>
    </row>
    <row r="40" spans="1:2" ht="12.75">
      <c r="A40">
        <v>35.1</v>
      </c>
      <c r="B40" s="1" t="s">
        <v>6</v>
      </c>
    </row>
    <row r="41" spans="1:2" ht="12.75">
      <c r="A41">
        <v>782.24</v>
      </c>
      <c r="B41" s="1" t="s">
        <v>7</v>
      </c>
    </row>
    <row r="42" spans="1:2" ht="12.75">
      <c r="A42">
        <v>848.12</v>
      </c>
      <c r="B42" s="1" t="s">
        <v>8</v>
      </c>
    </row>
    <row r="43" spans="1:2" ht="12.75">
      <c r="A43">
        <v>958.76</v>
      </c>
      <c r="B43" s="1" t="s">
        <v>8</v>
      </c>
    </row>
    <row r="44" spans="1:2" ht="12.75">
      <c r="A44">
        <v>1046.46</v>
      </c>
      <c r="B44" s="1" t="s">
        <v>8</v>
      </c>
    </row>
    <row r="45" spans="1:2" ht="12.75">
      <c r="A45">
        <v>1157</v>
      </c>
      <c r="B45" s="1" t="s">
        <v>8</v>
      </c>
    </row>
    <row r="46" spans="1:2" ht="12.75">
      <c r="A46">
        <v>1246.3</v>
      </c>
      <c r="B46" s="1" t="s">
        <v>8</v>
      </c>
    </row>
    <row r="47" spans="1:2" ht="12.75">
      <c r="A47">
        <v>1299.4</v>
      </c>
      <c r="B47" s="1" t="s">
        <v>8</v>
      </c>
    </row>
    <row r="48" spans="1:2" ht="12.75">
      <c r="A48">
        <v>1448.1</v>
      </c>
      <c r="B48" s="1" t="s">
        <v>8</v>
      </c>
    </row>
    <row r="49" spans="1:2" ht="12.75">
      <c r="A49">
        <v>1675.7</v>
      </c>
      <c r="B49" s="1" t="s">
        <v>8</v>
      </c>
    </row>
    <row r="50" spans="1:2" ht="12.75">
      <c r="A50">
        <v>1886.6</v>
      </c>
      <c r="B50" s="1" t="s">
        <v>8</v>
      </c>
    </row>
    <row r="51" spans="1:2" ht="12.75">
      <c r="A51">
        <v>433.04</v>
      </c>
      <c r="B51" s="1" t="s">
        <v>9</v>
      </c>
    </row>
    <row r="52" spans="1:2" ht="12.75">
      <c r="A52">
        <v>479.72</v>
      </c>
      <c r="B52" s="1" t="s">
        <v>10</v>
      </c>
    </row>
    <row r="53" spans="1:2" ht="12.75">
      <c r="A53">
        <v>549.06</v>
      </c>
      <c r="B53" s="1" t="s">
        <v>10</v>
      </c>
    </row>
    <row r="54" spans="1:2" ht="12.75">
      <c r="A54">
        <v>645.86</v>
      </c>
      <c r="B54" s="1" t="s">
        <v>10</v>
      </c>
    </row>
    <row r="55" spans="1:2" ht="12.75">
      <c r="A55">
        <v>727</v>
      </c>
      <c r="B55" s="1" t="s">
        <v>10</v>
      </c>
    </row>
    <row r="56" spans="1:2" ht="12.75">
      <c r="A56">
        <v>802.3</v>
      </c>
      <c r="B56" s="1" t="s">
        <v>10</v>
      </c>
    </row>
    <row r="57" spans="1:2" ht="12.75">
      <c r="A57">
        <v>859.6</v>
      </c>
      <c r="B57" s="1" t="s">
        <v>10</v>
      </c>
    </row>
    <row r="58" spans="1:2" ht="12.75">
      <c r="A58">
        <v>958.6</v>
      </c>
      <c r="B58" s="1" t="s">
        <v>10</v>
      </c>
    </row>
    <row r="59" spans="1:2" ht="12.75">
      <c r="A59">
        <v>1082.5</v>
      </c>
      <c r="B59" s="1" t="s">
        <v>10</v>
      </c>
    </row>
    <row r="60" spans="1:2" ht="12.75">
      <c r="A60">
        <v>1224.4</v>
      </c>
      <c r="B60" s="1" t="s">
        <v>10</v>
      </c>
    </row>
    <row r="61" spans="1:2" ht="12.75">
      <c r="A61">
        <v>2.91</v>
      </c>
      <c r="B61" s="1" t="s">
        <v>11</v>
      </c>
    </row>
    <row r="62" spans="1:2" ht="12.75">
      <c r="A62">
        <v>3.3</v>
      </c>
      <c r="B62" s="1" t="s">
        <v>12</v>
      </c>
    </row>
    <row r="63" spans="1:2" ht="12.75">
      <c r="A63">
        <v>3.86</v>
      </c>
      <c r="B63" s="1" t="s">
        <v>12</v>
      </c>
    </row>
    <row r="64" spans="1:2" ht="12.75">
      <c r="A64">
        <v>4.54</v>
      </c>
      <c r="B64" s="1" t="s">
        <v>12</v>
      </c>
    </row>
    <row r="65" spans="1:2" ht="12.75">
      <c r="A65">
        <v>4.9</v>
      </c>
      <c r="B65" s="1" t="s">
        <v>12</v>
      </c>
    </row>
    <row r="66" spans="1:2" ht="12.75">
      <c r="A66">
        <v>5.82</v>
      </c>
      <c r="B66" s="1" t="s">
        <v>12</v>
      </c>
    </row>
    <row r="67" spans="1:2" ht="12.75">
      <c r="A67">
        <v>6.74</v>
      </c>
      <c r="B67" s="1" t="s">
        <v>12</v>
      </c>
    </row>
    <row r="68" spans="1:2" ht="12.75">
      <c r="A68">
        <v>8.1</v>
      </c>
      <c r="B68" s="1" t="s">
        <v>12</v>
      </c>
    </row>
    <row r="69" spans="1:2" ht="12.75">
      <c r="A69">
        <v>8.87</v>
      </c>
      <c r="B69" s="1" t="s">
        <v>12</v>
      </c>
    </row>
    <row r="70" spans="1:2" ht="12.75">
      <c r="A70">
        <v>9.93</v>
      </c>
      <c r="B70" s="1" t="s">
        <v>12</v>
      </c>
    </row>
    <row r="71" spans="1:2" ht="12.75">
      <c r="A71">
        <v>0.55</v>
      </c>
      <c r="B71" s="1" t="s">
        <v>13</v>
      </c>
    </row>
    <row r="72" spans="1:2" ht="12.75">
      <c r="A72">
        <v>0.62</v>
      </c>
      <c r="B72" s="1" t="s">
        <v>14</v>
      </c>
    </row>
    <row r="73" spans="1:2" ht="12.75">
      <c r="A73">
        <v>0.72</v>
      </c>
      <c r="B73" s="1" t="s">
        <v>14</v>
      </c>
    </row>
    <row r="74" spans="1:2" ht="12.75">
      <c r="A74">
        <v>0.86</v>
      </c>
      <c r="B74" s="1" t="s">
        <v>14</v>
      </c>
    </row>
    <row r="75" spans="1:2" ht="12.75">
      <c r="A75">
        <v>0.97</v>
      </c>
      <c r="B75" s="1" t="s">
        <v>14</v>
      </c>
    </row>
    <row r="76" spans="1:2" ht="12.75">
      <c r="A76">
        <v>1.1</v>
      </c>
      <c r="B76" s="1" t="s">
        <v>14</v>
      </c>
    </row>
    <row r="77" spans="1:2" ht="12.75">
      <c r="A77">
        <v>1.17</v>
      </c>
      <c r="B77" s="1" t="s">
        <v>14</v>
      </c>
    </row>
    <row r="78" spans="1:2" ht="12.75">
      <c r="A78">
        <v>1.3</v>
      </c>
      <c r="B78" s="1" t="s">
        <v>14</v>
      </c>
    </row>
    <row r="79" spans="1:2" ht="12.75">
      <c r="A79">
        <v>1.45</v>
      </c>
      <c r="B79" s="1" t="s">
        <v>14</v>
      </c>
    </row>
    <row r="80" spans="1:2" ht="12.75">
      <c r="A80">
        <v>1.68</v>
      </c>
      <c r="B80" s="1" t="s">
        <v>14</v>
      </c>
    </row>
    <row r="81" spans="1:2" ht="12.75">
      <c r="A81">
        <v>0.1</v>
      </c>
      <c r="B81" s="1" t="s">
        <v>15</v>
      </c>
    </row>
    <row r="82" spans="1:2" ht="12.75">
      <c r="A82">
        <v>0.11</v>
      </c>
      <c r="B82" s="1" t="s">
        <v>16</v>
      </c>
    </row>
    <row r="83" spans="1:2" ht="12.75">
      <c r="A83">
        <v>0.12</v>
      </c>
      <c r="B83" s="1" t="s">
        <v>16</v>
      </c>
    </row>
    <row r="84" spans="1:2" ht="12.75">
      <c r="A84">
        <v>0.14</v>
      </c>
      <c r="B84" s="1" t="s">
        <v>16</v>
      </c>
    </row>
    <row r="85" spans="1:2" ht="12.75">
      <c r="A85">
        <v>0.15</v>
      </c>
      <c r="B85" s="1" t="s">
        <v>16</v>
      </c>
    </row>
    <row r="86" spans="1:2" ht="12.75">
      <c r="A86">
        <v>0.17</v>
      </c>
      <c r="B86" s="1" t="s">
        <v>16</v>
      </c>
    </row>
    <row r="87" spans="1:2" ht="12.75">
      <c r="A87">
        <v>0.18</v>
      </c>
      <c r="B87" s="1" t="s">
        <v>16</v>
      </c>
    </row>
    <row r="88" spans="1:2" ht="12.75">
      <c r="A88">
        <v>0.2</v>
      </c>
      <c r="B88" s="1" t="s">
        <v>16</v>
      </c>
    </row>
    <row r="89" spans="1:2" ht="12.75">
      <c r="A89">
        <v>0.21</v>
      </c>
      <c r="B89" s="1" t="s">
        <v>16</v>
      </c>
    </row>
    <row r="90" spans="1:2" ht="12.75">
      <c r="A90">
        <v>0.23</v>
      </c>
      <c r="B90" s="1" t="s">
        <v>16</v>
      </c>
    </row>
    <row r="91" spans="1:2" ht="12.75">
      <c r="A91">
        <v>39.12</v>
      </c>
      <c r="B91" s="1" t="s">
        <v>17</v>
      </c>
    </row>
    <row r="92" spans="1:2" ht="12.75">
      <c r="A92">
        <v>22.49</v>
      </c>
      <c r="B92" s="1" t="s">
        <v>18</v>
      </c>
    </row>
    <row r="93" spans="1:2" ht="12.75">
      <c r="A93">
        <v>0.27</v>
      </c>
      <c r="B93" s="1" t="s">
        <v>19</v>
      </c>
    </row>
    <row r="94" spans="1:2" ht="12.75">
      <c r="A94">
        <v>1994</v>
      </c>
      <c r="B94" s="1" t="s">
        <v>20</v>
      </c>
    </row>
    <row r="95" spans="1:2" ht="12.75">
      <c r="A95">
        <v>10</v>
      </c>
      <c r="B95" s="1" t="s">
        <v>21</v>
      </c>
    </row>
    <row r="96" spans="1:2" ht="12.75">
      <c r="A96">
        <v>39.25</v>
      </c>
      <c r="B96" s="1" t="s">
        <v>22</v>
      </c>
    </row>
    <row r="97" spans="1:2" ht="12.75">
      <c r="A97">
        <v>25.62</v>
      </c>
      <c r="B97" s="1" t="s">
        <v>23</v>
      </c>
    </row>
    <row r="98" spans="1:2" ht="12.75">
      <c r="A98">
        <v>694.8</v>
      </c>
      <c r="B98" s="1" t="s">
        <v>24</v>
      </c>
    </row>
    <row r="99" spans="1:2" ht="12.75">
      <c r="A99">
        <v>0</v>
      </c>
      <c r="B99" s="6" t="s">
        <v>25</v>
      </c>
    </row>
    <row r="100" spans="1:2" ht="12.75">
      <c r="A100">
        <v>0</v>
      </c>
      <c r="B100" s="6" t="s">
        <v>26</v>
      </c>
    </row>
    <row r="101" spans="1:2" ht="12.75">
      <c r="A101">
        <v>0</v>
      </c>
      <c r="B101" s="6" t="s">
        <v>27</v>
      </c>
    </row>
    <row r="102" spans="1:2" ht="12.75">
      <c r="A102">
        <v>4486.2</v>
      </c>
      <c r="B102" s="1" t="s">
        <v>28</v>
      </c>
    </row>
    <row r="103" spans="1:2" ht="12.75">
      <c r="A103">
        <v>20.5</v>
      </c>
      <c r="B103" s="1" t="s">
        <v>29</v>
      </c>
    </row>
    <row r="104" spans="1:2" ht="12.75">
      <c r="A104">
        <v>2161.3</v>
      </c>
      <c r="B104" s="1" t="s">
        <v>30</v>
      </c>
    </row>
    <row r="105" spans="1:2" ht="12.75">
      <c r="A105">
        <v>1796</v>
      </c>
      <c r="B105" s="1" t="s">
        <v>31</v>
      </c>
    </row>
    <row r="106" spans="1:2" ht="12.75">
      <c r="A106">
        <v>0.39</v>
      </c>
      <c r="B106" s="1" t="s">
        <v>32</v>
      </c>
    </row>
    <row r="107" spans="1:2" ht="12.75">
      <c r="A107">
        <v>0.33</v>
      </c>
      <c r="B107" s="1" t="s">
        <v>33</v>
      </c>
    </row>
    <row r="108" spans="1:2" ht="12.75">
      <c r="A108">
        <v>1999</v>
      </c>
      <c r="B108" s="6" t="s">
        <v>34</v>
      </c>
    </row>
    <row r="109" spans="1:2" ht="12.75">
      <c r="A109">
        <v>3.265</v>
      </c>
      <c r="B109" s="6" t="s">
        <v>35</v>
      </c>
    </row>
    <row r="110" spans="1:2" ht="12.75">
      <c r="A110">
        <v>0</v>
      </c>
      <c r="B110" s="7" t="s">
        <v>36</v>
      </c>
    </row>
    <row r="111" spans="1:2" ht="12.75">
      <c r="A111">
        <v>0</v>
      </c>
      <c r="B111" s="6" t="s">
        <v>37</v>
      </c>
    </row>
    <row r="112" spans="1:2" ht="12.75">
      <c r="A112">
        <v>0</v>
      </c>
      <c r="B112" s="6" t="s">
        <v>38</v>
      </c>
    </row>
    <row r="113" spans="1:2" ht="12.75">
      <c r="A113">
        <v>0</v>
      </c>
      <c r="B113" s="6" t="s">
        <v>39</v>
      </c>
    </row>
    <row r="114" spans="1:2" ht="12.75">
      <c r="A114">
        <v>0</v>
      </c>
      <c r="B114" s="6" t="s">
        <v>40</v>
      </c>
    </row>
    <row r="115" spans="1:2" ht="12.75">
      <c r="A115">
        <v>0</v>
      </c>
      <c r="B115" s="6" t="s">
        <v>40</v>
      </c>
    </row>
    <row r="116" spans="1:2" ht="12.75">
      <c r="A116">
        <v>0</v>
      </c>
      <c r="B116" s="6" t="s">
        <v>40</v>
      </c>
    </row>
    <row r="117" spans="1:2" ht="12.75">
      <c r="A117">
        <v>0</v>
      </c>
      <c r="B117" s="6" t="s">
        <v>40</v>
      </c>
    </row>
    <row r="118" spans="1:2" ht="12.75">
      <c r="A118">
        <v>0</v>
      </c>
      <c r="B118" s="6" t="s">
        <v>40</v>
      </c>
    </row>
    <row r="119" spans="1:2" ht="12.75">
      <c r="A119">
        <v>0</v>
      </c>
      <c r="B119" s="6" t="s">
        <v>40</v>
      </c>
    </row>
    <row r="120" spans="1:2" ht="12.75">
      <c r="A120">
        <v>0</v>
      </c>
      <c r="B120" s="6" t="s">
        <v>40</v>
      </c>
    </row>
    <row r="121" spans="1:2" ht="12.75">
      <c r="A121">
        <v>0</v>
      </c>
      <c r="B121" s="6" t="s">
        <v>40</v>
      </c>
    </row>
    <row r="122" spans="1:2" ht="12.75">
      <c r="A122">
        <v>0</v>
      </c>
      <c r="B122" s="6" t="s">
        <v>40</v>
      </c>
    </row>
    <row r="123" spans="1:2" ht="12.75">
      <c r="A123">
        <v>0</v>
      </c>
      <c r="B123" s="6" t="s">
        <v>40</v>
      </c>
    </row>
    <row r="124" spans="1:2" ht="12.75">
      <c r="A124">
        <v>0</v>
      </c>
      <c r="B124" s="6" t="s">
        <v>41</v>
      </c>
    </row>
    <row r="125" spans="1:2" ht="12.75">
      <c r="A125">
        <v>0</v>
      </c>
      <c r="B125" s="6" t="s">
        <v>42</v>
      </c>
    </row>
    <row r="126" spans="1:2" ht="12.75">
      <c r="A126">
        <v>0</v>
      </c>
      <c r="B126" s="6" t="s">
        <v>43</v>
      </c>
    </row>
    <row r="127" spans="1:2" ht="12.75">
      <c r="A127">
        <v>0</v>
      </c>
      <c r="B127" s="6" t="s">
        <v>44</v>
      </c>
    </row>
    <row r="128" spans="1:2" ht="12.75">
      <c r="A128">
        <v>0</v>
      </c>
      <c r="B128" s="6" t="s">
        <v>45</v>
      </c>
    </row>
    <row r="129" spans="1:2" ht="12.75">
      <c r="A129">
        <v>0</v>
      </c>
      <c r="B129" s="6" t="s">
        <v>46</v>
      </c>
    </row>
    <row r="130" spans="1:2" ht="12.75">
      <c r="A130">
        <v>0</v>
      </c>
      <c r="B130" s="6" t="s">
        <v>47</v>
      </c>
    </row>
    <row r="131" spans="1:2" ht="12.75">
      <c r="A131">
        <v>0</v>
      </c>
      <c r="B131" s="6" t="s">
        <v>48</v>
      </c>
    </row>
    <row r="132" spans="1:2" ht="12.75">
      <c r="A132">
        <v>0</v>
      </c>
      <c r="B132" s="6" t="s">
        <v>49</v>
      </c>
    </row>
    <row r="133" spans="1:2" ht="12.75">
      <c r="A133">
        <v>0</v>
      </c>
      <c r="B133" s="6" t="s">
        <v>50</v>
      </c>
    </row>
    <row r="134" spans="1:2" ht="12.75">
      <c r="A134">
        <v>0</v>
      </c>
      <c r="B134" s="6" t="s">
        <v>51</v>
      </c>
    </row>
    <row r="135" spans="1:2" ht="12.75">
      <c r="A135">
        <v>0</v>
      </c>
      <c r="B135" s="6" t="s">
        <v>52</v>
      </c>
    </row>
    <row r="136" spans="1:2" ht="12.75">
      <c r="A136">
        <v>0</v>
      </c>
      <c r="B136" s="6" t="s">
        <v>53</v>
      </c>
    </row>
    <row r="137" spans="1:2" ht="12.75">
      <c r="A137">
        <v>0</v>
      </c>
      <c r="B137" s="6" t="s">
        <v>54</v>
      </c>
    </row>
    <row r="138" spans="1:2" ht="12.75">
      <c r="A138">
        <v>0</v>
      </c>
      <c r="B138" s="6" t="s">
        <v>55</v>
      </c>
    </row>
    <row r="139" spans="1:2" ht="12.75">
      <c r="A139">
        <v>0</v>
      </c>
      <c r="B139" s="6" t="s">
        <v>56</v>
      </c>
    </row>
    <row r="140" spans="1:2" ht="12.75">
      <c r="A140">
        <v>0</v>
      </c>
      <c r="B140" s="6" t="s">
        <v>57</v>
      </c>
    </row>
    <row r="141" spans="1:2" ht="12.75">
      <c r="A141">
        <v>0</v>
      </c>
      <c r="B141" s="6" t="s">
        <v>58</v>
      </c>
    </row>
    <row r="142" spans="1:2" ht="12.75">
      <c r="A142">
        <v>0</v>
      </c>
      <c r="B142" s="6" t="s">
        <v>59</v>
      </c>
    </row>
    <row r="143" spans="1:2" ht="12.75">
      <c r="A143">
        <v>0</v>
      </c>
      <c r="B143" s="6" t="s">
        <v>60</v>
      </c>
    </row>
    <row r="144" spans="1:2" ht="12.75">
      <c r="A144">
        <v>0</v>
      </c>
      <c r="B144" s="6" t="s">
        <v>61</v>
      </c>
    </row>
    <row r="145" spans="1:2" ht="12.75">
      <c r="A145">
        <v>0</v>
      </c>
      <c r="B145" s="6" t="s">
        <v>62</v>
      </c>
    </row>
    <row r="146" spans="1:2" ht="12.75">
      <c r="A146">
        <v>0</v>
      </c>
      <c r="B146" s="6" t="s">
        <v>63</v>
      </c>
    </row>
    <row r="147" spans="1:2" ht="12.75">
      <c r="A147">
        <v>0</v>
      </c>
      <c r="B147" s="6" t="s">
        <v>64</v>
      </c>
    </row>
    <row r="148" spans="1:2" ht="12.75">
      <c r="A148">
        <v>0</v>
      </c>
      <c r="B148" s="6" t="s">
        <v>65</v>
      </c>
    </row>
    <row r="149" spans="1:2" ht="12.75">
      <c r="A149">
        <v>0</v>
      </c>
      <c r="B149" s="6" t="s">
        <v>66</v>
      </c>
    </row>
    <row r="150" spans="1:2" ht="12.75">
      <c r="A150">
        <v>0</v>
      </c>
      <c r="B150" s="6" t="s">
        <v>67</v>
      </c>
    </row>
    <row r="151" spans="1:2" ht="12.75">
      <c r="A151">
        <v>0</v>
      </c>
      <c r="B151" s="6" t="s">
        <v>68</v>
      </c>
    </row>
    <row r="152" spans="1:2" ht="12.75">
      <c r="A152">
        <v>198.2</v>
      </c>
      <c r="B152" s="1" t="s">
        <v>69</v>
      </c>
    </row>
    <row r="153" spans="1:2" ht="12.75">
      <c r="A153">
        <v>351.4</v>
      </c>
      <c r="B153" s="1" t="s">
        <v>70</v>
      </c>
    </row>
    <row r="154" spans="1:2" ht="12.75">
      <c r="A154">
        <v>52.3</v>
      </c>
      <c r="B154" s="1" t="s">
        <v>71</v>
      </c>
    </row>
    <row r="155" spans="1:2" ht="12.75">
      <c r="A155">
        <v>740.2</v>
      </c>
      <c r="B155" s="1" t="s">
        <v>72</v>
      </c>
    </row>
    <row r="156" spans="1:2" ht="12.75">
      <c r="A156">
        <v>499.8</v>
      </c>
      <c r="B156" s="1" t="s">
        <v>73</v>
      </c>
    </row>
    <row r="157" spans="1:2" ht="12.75">
      <c r="A157">
        <v>1558.5</v>
      </c>
      <c r="B157" s="1" t="s">
        <v>74</v>
      </c>
    </row>
    <row r="158" spans="1:2" ht="12.75">
      <c r="A158">
        <v>168.1</v>
      </c>
      <c r="B158" s="1" t="s">
        <v>75</v>
      </c>
    </row>
    <row r="159" spans="1:2" ht="12.75">
      <c r="A159">
        <v>297.2</v>
      </c>
      <c r="B159" s="1" t="s">
        <v>76</v>
      </c>
    </row>
    <row r="160" spans="1:2" ht="12.75">
      <c r="A160">
        <v>42</v>
      </c>
      <c r="B160" s="1" t="s">
        <v>77</v>
      </c>
    </row>
    <row r="161" spans="1:2" ht="12.75">
      <c r="A161">
        <v>619.6</v>
      </c>
      <c r="B161" s="7" t="s">
        <v>78</v>
      </c>
    </row>
    <row r="162" spans="1:2" ht="12.75">
      <c r="A162">
        <v>128.9</v>
      </c>
      <c r="B162" s="1" t="s">
        <v>79</v>
      </c>
    </row>
    <row r="163" spans="1:2" ht="12.75">
      <c r="A163">
        <v>955.8</v>
      </c>
      <c r="B163" s="7" t="s">
        <v>80</v>
      </c>
    </row>
    <row r="164" spans="1:2" ht="12.75">
      <c r="A164">
        <v>0</v>
      </c>
      <c r="B164" s="6" t="s">
        <v>81</v>
      </c>
    </row>
    <row r="165" spans="1:2" ht="12.75">
      <c r="A165">
        <v>1637.988</v>
      </c>
      <c r="B165" s="1" t="s">
        <v>82</v>
      </c>
    </row>
    <row r="166" spans="1:2" ht="12.75">
      <c r="A166">
        <v>2131.399</v>
      </c>
      <c r="B166" s="1" t="s">
        <v>83</v>
      </c>
    </row>
    <row r="167" spans="1:2" ht="12.75">
      <c r="A167">
        <v>2685.095</v>
      </c>
      <c r="B167" s="1" t="s">
        <v>83</v>
      </c>
    </row>
    <row r="168" spans="1:2" ht="12.75">
      <c r="A168">
        <v>3111.053</v>
      </c>
      <c r="B168" s="1" t="s">
        <v>83</v>
      </c>
    </row>
    <row r="169" spans="1:2" ht="12.75">
      <c r="A169">
        <v>3901</v>
      </c>
      <c r="B169" s="1" t="s">
        <v>83</v>
      </c>
    </row>
    <row r="170" spans="1:2" ht="12.75">
      <c r="A170">
        <v>4428.699</v>
      </c>
      <c r="B170" s="1" t="s">
        <v>83</v>
      </c>
    </row>
    <row r="171" spans="1:2" ht="12.75">
      <c r="A171">
        <v>4267.398</v>
      </c>
      <c r="B171" s="1" t="s">
        <v>83</v>
      </c>
    </row>
    <row r="172" spans="1:2" ht="12.75">
      <c r="A172">
        <v>3176.4</v>
      </c>
      <c r="B172" s="1" t="s">
        <v>83</v>
      </c>
    </row>
    <row r="173" spans="1:2" ht="12.75">
      <c r="A173">
        <v>3489.4</v>
      </c>
      <c r="B173" s="1" t="s">
        <v>83</v>
      </c>
    </row>
    <row r="174" spans="1:2" ht="12.75">
      <c r="A174">
        <v>2935.4</v>
      </c>
      <c r="B174" s="1" t="s">
        <v>83</v>
      </c>
    </row>
    <row r="175" spans="1:2" ht="12.75">
      <c r="A175">
        <v>770.67</v>
      </c>
      <c r="B175" s="1" t="s">
        <v>84</v>
      </c>
    </row>
    <row r="176" spans="1:2" ht="12.75">
      <c r="A176">
        <v>759.312</v>
      </c>
      <c r="B176" s="1" t="s">
        <v>85</v>
      </c>
    </row>
    <row r="177" spans="1:2" ht="12.75">
      <c r="A177">
        <v>755.424</v>
      </c>
      <c r="B177" s="1" t="s">
        <v>85</v>
      </c>
    </row>
    <row r="178" spans="1:2" ht="12.75">
      <c r="A178">
        <v>750.952</v>
      </c>
      <c r="B178" s="1" t="s">
        <v>85</v>
      </c>
    </row>
    <row r="179" spans="1:2" ht="12.75">
      <c r="A179">
        <v>724</v>
      </c>
      <c r="B179" s="1" t="s">
        <v>85</v>
      </c>
    </row>
    <row r="180" spans="1:2" ht="12.75">
      <c r="A180">
        <v>718.2</v>
      </c>
      <c r="B180" s="1" t="s">
        <v>85</v>
      </c>
    </row>
    <row r="181" spans="1:2" ht="12.75">
      <c r="A181">
        <v>717.4</v>
      </c>
      <c r="B181" s="1" t="s">
        <v>85</v>
      </c>
    </row>
    <row r="182" spans="1:2" ht="12.75">
      <c r="A182">
        <v>727.2</v>
      </c>
      <c r="B182" s="1" t="s">
        <v>85</v>
      </c>
    </row>
    <row r="183" spans="1:2" ht="12.75">
      <c r="A183">
        <v>707.4</v>
      </c>
      <c r="B183" s="1" t="s">
        <v>85</v>
      </c>
    </row>
    <row r="184" spans="1:2" ht="12.75">
      <c r="A184">
        <v>693.7</v>
      </c>
      <c r="B184" s="1" t="s">
        <v>85</v>
      </c>
    </row>
    <row r="185" spans="1:2" ht="12.75">
      <c r="A185">
        <v>0.831</v>
      </c>
      <c r="B185" s="1" t="s">
        <v>86</v>
      </c>
    </row>
    <row r="186" spans="1:2" ht="12.75">
      <c r="A186">
        <v>0.959</v>
      </c>
      <c r="B186" s="1" t="s">
        <v>87</v>
      </c>
    </row>
    <row r="187" spans="1:2" ht="12.75">
      <c r="A187">
        <v>1.113</v>
      </c>
      <c r="B187" s="1" t="s">
        <v>87</v>
      </c>
    </row>
    <row r="188" spans="1:2" ht="12.75">
      <c r="A188">
        <v>1.306</v>
      </c>
      <c r="B188" s="1" t="s">
        <v>87</v>
      </c>
    </row>
    <row r="189" spans="1:2" ht="12.75">
      <c r="A189">
        <v>1.543</v>
      </c>
      <c r="B189" s="1" t="s">
        <v>87</v>
      </c>
    </row>
    <row r="190" spans="1:2" ht="12.75">
      <c r="A190">
        <v>1.735</v>
      </c>
      <c r="B190" s="1" t="s">
        <v>87</v>
      </c>
    </row>
    <row r="191" spans="1:2" ht="12.75">
      <c r="A191">
        <v>1.835</v>
      </c>
      <c r="B191" s="1" t="s">
        <v>87</v>
      </c>
    </row>
    <row r="192" spans="1:2" ht="12.75">
      <c r="A192">
        <v>1.996</v>
      </c>
      <c r="B192" s="1" t="s">
        <v>87</v>
      </c>
    </row>
    <row r="193" spans="1:2" ht="12.75">
      <c r="A193">
        <v>2.227</v>
      </c>
      <c r="B193" s="1" t="s">
        <v>87</v>
      </c>
    </row>
    <row r="194" spans="1:2" ht="12.75">
      <c r="A194">
        <v>2.671</v>
      </c>
      <c r="B194" s="1" t="s">
        <v>87</v>
      </c>
    </row>
    <row r="195" spans="1:2" ht="12.75">
      <c r="A195">
        <v>14213.5</v>
      </c>
      <c r="B195" s="1" t="s">
        <v>88</v>
      </c>
    </row>
    <row r="196" spans="1:2" ht="12.75">
      <c r="A196">
        <v>6.37</v>
      </c>
      <c r="B196" s="1" t="s">
        <v>89</v>
      </c>
    </row>
    <row r="197" spans="1:2" ht="12.75">
      <c r="A197">
        <v>0</v>
      </c>
      <c r="B197" s="6" t="s">
        <v>90</v>
      </c>
    </row>
    <row r="198" spans="1:2" ht="12.75">
      <c r="A198">
        <v>0</v>
      </c>
      <c r="B198" s="6" t="s">
        <v>91</v>
      </c>
    </row>
    <row r="199" spans="1:2" ht="12.75">
      <c r="A199">
        <v>0</v>
      </c>
      <c r="B199" s="6" t="s">
        <v>92</v>
      </c>
    </row>
    <row r="200" spans="1:2" ht="12.75">
      <c r="A200">
        <v>0</v>
      </c>
      <c r="B200" s="6" t="s">
        <v>93</v>
      </c>
    </row>
    <row r="201" spans="1:2" ht="12.75">
      <c r="A201">
        <v>0</v>
      </c>
      <c r="B201" s="1" t="s">
        <v>94</v>
      </c>
    </row>
    <row r="202" spans="1:2" ht="12.75">
      <c r="A202">
        <v>1877.8</v>
      </c>
      <c r="B202" s="1" t="s">
        <v>95</v>
      </c>
    </row>
    <row r="203" spans="1:2" ht="12.75">
      <c r="A203">
        <v>1944.3</v>
      </c>
      <c r="B203" s="1" t="s">
        <v>96</v>
      </c>
    </row>
    <row r="204" spans="1:2" ht="12.75">
      <c r="A204">
        <v>1931.9</v>
      </c>
      <c r="B204" s="1" t="s">
        <v>96</v>
      </c>
    </row>
    <row r="205" spans="1:2" ht="12.75">
      <c r="A205">
        <v>1796</v>
      </c>
      <c r="B205" s="1" t="s">
        <v>96</v>
      </c>
    </row>
    <row r="206" spans="1:2" ht="12.75">
      <c r="A206">
        <v>2029.3</v>
      </c>
      <c r="B206" s="1" t="s">
        <v>96</v>
      </c>
    </row>
    <row r="207" spans="1:2" ht="12.75">
      <c r="A207">
        <v>2225.4</v>
      </c>
      <c r="B207" s="1" t="s">
        <v>96</v>
      </c>
    </row>
    <row r="208" spans="1:2" ht="12.75">
      <c r="A208">
        <v>2270.1</v>
      </c>
      <c r="B208" s="1" t="s">
        <v>96</v>
      </c>
    </row>
    <row r="209" spans="1:2" ht="12.75">
      <c r="A209">
        <v>2161.3</v>
      </c>
      <c r="B209" s="1" t="s">
        <v>96</v>
      </c>
    </row>
    <row r="210" spans="1:2" ht="12.75">
      <c r="A210">
        <v>0.39</v>
      </c>
      <c r="B210" s="1" t="s">
        <v>97</v>
      </c>
    </row>
    <row r="211" spans="1:2" ht="12.75">
      <c r="A211">
        <v>0.43</v>
      </c>
      <c r="B211" s="1" t="s">
        <v>98</v>
      </c>
    </row>
    <row r="212" spans="1:2" ht="12.75">
      <c r="A212">
        <v>0.36</v>
      </c>
      <c r="B212" s="1" t="s">
        <v>98</v>
      </c>
    </row>
    <row r="213" spans="1:2" ht="12.75">
      <c r="A213">
        <v>0.33</v>
      </c>
      <c r="B213" s="1" t="s">
        <v>98</v>
      </c>
    </row>
    <row r="214" spans="1:2" ht="12.75">
      <c r="A214">
        <v>0.44</v>
      </c>
      <c r="B214" s="1" t="s">
        <v>98</v>
      </c>
    </row>
    <row r="215" spans="1:2" ht="12.75">
      <c r="A215">
        <v>0.48</v>
      </c>
      <c r="B215" s="1" t="s">
        <v>98</v>
      </c>
    </row>
    <row r="216" spans="1:2" ht="12.75">
      <c r="A216">
        <v>0.43</v>
      </c>
      <c r="B216" s="1" t="s">
        <v>98</v>
      </c>
    </row>
    <row r="217" spans="1:2" ht="12.75">
      <c r="A217">
        <v>0.39</v>
      </c>
      <c r="B217" s="1" t="s">
        <v>98</v>
      </c>
    </row>
    <row r="218" spans="1:2" ht="12.75">
      <c r="A218">
        <v>0.05</v>
      </c>
      <c r="B218" s="1" t="s">
        <v>99</v>
      </c>
    </row>
    <row r="219" spans="1:2" ht="12.75">
      <c r="A219">
        <v>0.05</v>
      </c>
      <c r="B219" s="1" t="s">
        <v>100</v>
      </c>
    </row>
    <row r="220" spans="1:2" ht="12.75">
      <c r="A220">
        <v>0.05</v>
      </c>
      <c r="B220" s="1" t="s">
        <v>100</v>
      </c>
    </row>
    <row r="221" spans="1:2" ht="12.75">
      <c r="A221">
        <v>0.05</v>
      </c>
      <c r="B221" s="1" t="s">
        <v>100</v>
      </c>
    </row>
    <row r="222" spans="1:2" ht="12.75">
      <c r="A222">
        <v>0.06</v>
      </c>
      <c r="B222" s="1" t="s">
        <v>100</v>
      </c>
    </row>
    <row r="223" spans="1:2" ht="12.75">
      <c r="A223">
        <v>0.06</v>
      </c>
      <c r="B223" s="1" t="s">
        <v>100</v>
      </c>
    </row>
    <row r="224" spans="1:2" ht="12.75">
      <c r="A224">
        <v>0.06</v>
      </c>
      <c r="B224" s="1" t="s">
        <v>100</v>
      </c>
    </row>
    <row r="225" spans="1:2" ht="12.75">
      <c r="A225">
        <v>0.06</v>
      </c>
      <c r="B225" s="1" t="s">
        <v>100</v>
      </c>
    </row>
    <row r="226" spans="1:2" ht="12.75">
      <c r="A226">
        <v>0</v>
      </c>
      <c r="B226" s="6" t="s">
        <v>101</v>
      </c>
    </row>
    <row r="227" spans="1:2" ht="12.75">
      <c r="A227">
        <v>0</v>
      </c>
      <c r="B227" s="6" t="s">
        <v>102</v>
      </c>
    </row>
    <row r="228" spans="1:2" ht="12.75">
      <c r="A228">
        <v>0</v>
      </c>
      <c r="B228" s="1" t="s">
        <v>94</v>
      </c>
    </row>
    <row r="229" spans="1:2" ht="12.75">
      <c r="A229">
        <v>0.142</v>
      </c>
      <c r="B229" s="1" t="s">
        <v>103</v>
      </c>
    </row>
    <row r="230" spans="1:2" ht="12.75">
      <c r="A230">
        <v>0</v>
      </c>
      <c r="B230" s="6" t="s">
        <v>104</v>
      </c>
    </row>
    <row r="231" spans="1:2" ht="12.75">
      <c r="A231">
        <v>3986.4</v>
      </c>
      <c r="B231" s="6" t="s">
        <v>105</v>
      </c>
    </row>
    <row r="232" spans="1:2" ht="12.75">
      <c r="A232">
        <v>12</v>
      </c>
      <c r="B232" s="1" t="s">
        <v>106</v>
      </c>
    </row>
    <row r="233" spans="1:2" ht="12.75">
      <c r="A233">
        <v>0</v>
      </c>
      <c r="B233" s="1" t="s">
        <v>94</v>
      </c>
    </row>
    <row r="234" spans="1:2" ht="12.75">
      <c r="A234">
        <v>0</v>
      </c>
      <c r="B234" s="1" t="s">
        <v>94</v>
      </c>
    </row>
    <row r="235" spans="1:2" ht="12.75">
      <c r="A235">
        <v>0</v>
      </c>
      <c r="B235" s="1" t="s">
        <v>94</v>
      </c>
    </row>
    <row r="236" spans="1:2" ht="12.75">
      <c r="A236" t="s">
        <v>358</v>
      </c>
      <c r="B236" s="1" t="s">
        <v>107</v>
      </c>
    </row>
    <row r="237" spans="1:2" ht="12.75">
      <c r="A237" t="s">
        <v>359</v>
      </c>
      <c r="B237" s="1" t="s">
        <v>108</v>
      </c>
    </row>
    <row r="238" spans="1:2" ht="12.75">
      <c r="A238" t="s">
        <v>360</v>
      </c>
      <c r="B238" s="1" t="s">
        <v>109</v>
      </c>
    </row>
    <row r="239" spans="1:2" ht="12.75">
      <c r="A239" t="s">
        <v>361</v>
      </c>
      <c r="B239" s="1" t="s">
        <v>110</v>
      </c>
    </row>
    <row r="240" spans="1:2" ht="12.75">
      <c r="A240" s="93">
        <v>34880</v>
      </c>
      <c r="B240" s="1" t="s">
        <v>111</v>
      </c>
    </row>
    <row r="241" spans="1:2" ht="12.75">
      <c r="A241"/>
      <c r="B241" s="6" t="s">
        <v>112</v>
      </c>
    </row>
    <row r="242" spans="1:2" ht="12.75">
      <c r="A242" t="s">
        <v>362</v>
      </c>
      <c r="B242" s="6" t="s">
        <v>113</v>
      </c>
    </row>
    <row r="243" spans="1:2" ht="12.75">
      <c r="A243"/>
      <c r="B243" s="7" t="s">
        <v>114</v>
      </c>
    </row>
    <row r="244" spans="1:2" ht="12.75">
      <c r="A244" t="s">
        <v>363</v>
      </c>
      <c r="B244" s="6" t="s">
        <v>115</v>
      </c>
    </row>
    <row r="245" spans="1:2" ht="12.75">
      <c r="A245">
        <v>1</v>
      </c>
      <c r="B245" s="1" t="s">
        <v>116</v>
      </c>
    </row>
    <row r="246" spans="1:2" ht="12.75">
      <c r="A246">
        <v>439.79</v>
      </c>
      <c r="B246" s="1" t="s">
        <v>94</v>
      </c>
    </row>
    <row r="247" spans="1:2" ht="12.75">
      <c r="A247">
        <v>47.19</v>
      </c>
      <c r="B247" s="1" t="s">
        <v>94</v>
      </c>
    </row>
    <row r="248" spans="1:2" ht="12.75">
      <c r="A248"/>
      <c r="B248" s="1" t="s">
        <v>94</v>
      </c>
    </row>
    <row r="249" spans="1:2" ht="12.75">
      <c r="A249"/>
      <c r="B249" s="1" t="s">
        <v>94</v>
      </c>
    </row>
    <row r="250" spans="1:2" ht="12.75">
      <c r="A250"/>
      <c r="B250" s="1" t="s">
        <v>94</v>
      </c>
    </row>
    <row r="251" spans="1:2" ht="12.75">
      <c r="A251"/>
      <c r="B251" s="1" t="s">
        <v>94</v>
      </c>
    </row>
    <row r="252" spans="1:2" ht="12.75">
      <c r="A252"/>
      <c r="B252" s="1" t="s">
        <v>94</v>
      </c>
    </row>
    <row r="253" spans="1:2" ht="12.75">
      <c r="A253"/>
      <c r="B253" s="1" t="s">
        <v>94</v>
      </c>
    </row>
    <row r="254" spans="1:2" ht="12.75">
      <c r="A254"/>
      <c r="B254" s="1" t="s">
        <v>94</v>
      </c>
    </row>
    <row r="255" spans="1:2" ht="12.75">
      <c r="A255" s="93">
        <v>34789</v>
      </c>
      <c r="B255" s="1" t="s">
        <v>117</v>
      </c>
    </row>
    <row r="256" spans="1:2" ht="12.75">
      <c r="A256"/>
      <c r="B256" s="1" t="s">
        <v>94</v>
      </c>
    </row>
    <row r="257" spans="1:2" ht="12.75">
      <c r="A257"/>
      <c r="B257" s="1" t="s">
        <v>94</v>
      </c>
    </row>
    <row r="258" spans="1:2" ht="12.75">
      <c r="A258"/>
      <c r="B258" s="1" t="s">
        <v>94</v>
      </c>
    </row>
    <row r="259" spans="1:2" ht="12.75">
      <c r="A259"/>
      <c r="B259" s="1" t="s">
        <v>94</v>
      </c>
    </row>
    <row r="260" spans="1:2" ht="12.75">
      <c r="A260"/>
      <c r="B260" s="1" t="s">
        <v>94</v>
      </c>
    </row>
    <row r="261" spans="1:2" ht="12.75">
      <c r="A261"/>
      <c r="B261" s="1" t="s">
        <v>94</v>
      </c>
    </row>
    <row r="262" spans="1:2" ht="12.75">
      <c r="A262"/>
      <c r="B262" s="1" t="s">
        <v>94</v>
      </c>
    </row>
    <row r="263" spans="1:2" ht="12.75">
      <c r="A263"/>
      <c r="B263" s="1" t="s">
        <v>94</v>
      </c>
    </row>
    <row r="264" spans="1:2" ht="12.75">
      <c r="A264"/>
      <c r="B264" s="1" t="s">
        <v>94</v>
      </c>
    </row>
    <row r="265" spans="1:2" ht="12.75">
      <c r="A265"/>
      <c r="B265" s="1" t="s">
        <v>94</v>
      </c>
    </row>
    <row r="266" spans="1:2" ht="12.75">
      <c r="A266"/>
      <c r="B266" s="1" t="s">
        <v>94</v>
      </c>
    </row>
    <row r="267" spans="1:2" ht="12.75">
      <c r="A267"/>
      <c r="B267" s="1" t="s">
        <v>94</v>
      </c>
    </row>
    <row r="268" spans="1:2" ht="12.75">
      <c r="A268"/>
      <c r="B268" s="1" t="s">
        <v>94</v>
      </c>
    </row>
    <row r="269" spans="1:2" ht="12.75">
      <c r="A269"/>
      <c r="B269" s="1" t="s">
        <v>94</v>
      </c>
    </row>
    <row r="270" spans="1:2" ht="12.75">
      <c r="A270">
        <v>3</v>
      </c>
      <c r="B270" s="1" t="s">
        <v>118</v>
      </c>
    </row>
    <row r="271" spans="1:2" ht="12.75">
      <c r="A271">
        <v>95</v>
      </c>
      <c r="B271" s="1" t="s">
        <v>119</v>
      </c>
    </row>
    <row r="272" spans="1:2" ht="12.75">
      <c r="A272"/>
      <c r="B272" s="1" t="s">
        <v>94</v>
      </c>
    </row>
    <row r="273" spans="1:2" ht="12.75">
      <c r="A273"/>
      <c r="B273" s="1" t="s">
        <v>94</v>
      </c>
    </row>
    <row r="274" spans="1:2" ht="12.75">
      <c r="A274"/>
      <c r="B274" s="1" t="s">
        <v>94</v>
      </c>
    </row>
    <row r="275" spans="1:2" ht="12.75">
      <c r="A275"/>
      <c r="B275" s="1" t="s">
        <v>94</v>
      </c>
    </row>
    <row r="276" spans="1:2" ht="12.75">
      <c r="A276">
        <v>130</v>
      </c>
      <c r="B276" s="1" t="s">
        <v>120</v>
      </c>
    </row>
    <row r="277" spans="1:2" ht="12.75">
      <c r="A277"/>
      <c r="B277" s="1" t="s">
        <v>94</v>
      </c>
    </row>
    <row r="278" spans="1:2" ht="12.75">
      <c r="A278"/>
      <c r="B278" s="1" t="s">
        <v>94</v>
      </c>
    </row>
    <row r="279" spans="1:2" ht="12.75">
      <c r="A279">
        <v>5812</v>
      </c>
      <c r="B279" s="1" t="s">
        <v>121</v>
      </c>
    </row>
    <row r="280" spans="1:2" ht="12.75">
      <c r="A280" t="s">
        <v>364</v>
      </c>
      <c r="B280" s="1" t="s">
        <v>122</v>
      </c>
    </row>
    <row r="281" spans="1:2" ht="12.75">
      <c r="A281"/>
      <c r="B281" s="7" t="s">
        <v>123</v>
      </c>
    </row>
    <row r="282" spans="1:2" ht="12.75">
      <c r="A282"/>
      <c r="B282" s="7" t="s">
        <v>124</v>
      </c>
    </row>
    <row r="283" spans="1:2" ht="12.75">
      <c r="A283"/>
      <c r="B283" s="1" t="s">
        <v>94</v>
      </c>
    </row>
    <row r="284" spans="1:2" ht="12.75">
      <c r="A284"/>
      <c r="B284" s="1" t="s">
        <v>94</v>
      </c>
    </row>
    <row r="285" spans="1:2" ht="12.75">
      <c r="A285"/>
      <c r="B285" s="1" t="s">
        <v>94</v>
      </c>
    </row>
    <row r="286" spans="1:2" ht="12.75">
      <c r="A286">
        <v>1.14</v>
      </c>
      <c r="B286" s="1" t="s">
        <v>125</v>
      </c>
    </row>
    <row r="287" spans="1:2" ht="12.75">
      <c r="A287"/>
      <c r="B287" s="1" t="s">
        <v>94</v>
      </c>
    </row>
    <row r="288" spans="1:2" ht="12.75">
      <c r="A288"/>
      <c r="B288" s="1" t="s">
        <v>94</v>
      </c>
    </row>
    <row r="289" spans="1:2" ht="12.75">
      <c r="A289"/>
      <c r="B289" s="1" t="s">
        <v>94</v>
      </c>
    </row>
    <row r="290" spans="1:2" ht="12.75">
      <c r="A290"/>
      <c r="B290" s="1" t="s">
        <v>94</v>
      </c>
    </row>
    <row r="291" spans="1:2" ht="12.75">
      <c r="A291"/>
      <c r="B291" s="1" t="s">
        <v>94</v>
      </c>
    </row>
    <row r="292" spans="1:2" ht="12.75">
      <c r="A292"/>
      <c r="B292" s="1" t="s">
        <v>94</v>
      </c>
    </row>
    <row r="293" spans="1:2" ht="12.75">
      <c r="A293"/>
      <c r="B293" s="1" t="s">
        <v>94</v>
      </c>
    </row>
    <row r="294" spans="1:2" ht="12.75">
      <c r="A294"/>
      <c r="B294" s="1" t="s">
        <v>94</v>
      </c>
    </row>
    <row r="295" spans="1:2" ht="12.75">
      <c r="A295"/>
      <c r="B295" s="1" t="s">
        <v>94</v>
      </c>
    </row>
    <row r="296" spans="1:2" ht="12.75">
      <c r="A296"/>
      <c r="B296" s="1" t="s">
        <v>94</v>
      </c>
    </row>
    <row r="297" spans="1:2" ht="12.75">
      <c r="A297"/>
      <c r="B297" s="1" t="s">
        <v>94</v>
      </c>
    </row>
    <row r="298" spans="1:2" ht="12.75">
      <c r="A298"/>
      <c r="B298" s="1" t="s">
        <v>94</v>
      </c>
    </row>
    <row r="299" spans="1:2" ht="12.75">
      <c r="A299"/>
      <c r="B299" s="1" t="s">
        <v>94</v>
      </c>
    </row>
    <row r="300" spans="1:2" ht="12.75">
      <c r="A300"/>
      <c r="B300" s="1" t="s">
        <v>94</v>
      </c>
    </row>
    <row r="301" ht="10.5">
      <c r="B301" s="1" t="s">
        <v>94</v>
      </c>
    </row>
    <row r="302" ht="10.5">
      <c r="B302" s="1" t="s">
        <v>94</v>
      </c>
    </row>
    <row r="303" ht="10.5">
      <c r="B303" s="1" t="s">
        <v>94</v>
      </c>
    </row>
    <row r="304" ht="10.5">
      <c r="B304" s="1" t="s">
        <v>94</v>
      </c>
    </row>
    <row r="305" ht="10.5">
      <c r="B305" s="1" t="s">
        <v>94</v>
      </c>
    </row>
    <row r="306" ht="10.5">
      <c r="B306" s="1" t="s">
        <v>94</v>
      </c>
    </row>
    <row r="307" ht="10.5">
      <c r="B307" s="1" t="s">
        <v>94</v>
      </c>
    </row>
    <row r="308" ht="10.5">
      <c r="B308" s="1" t="s">
        <v>94</v>
      </c>
    </row>
    <row r="309" ht="10.5">
      <c r="B309" s="1" t="s">
        <v>94</v>
      </c>
    </row>
    <row r="310" ht="10.5">
      <c r="B310" s="1" t="s">
        <v>94</v>
      </c>
    </row>
    <row r="311" ht="10.5">
      <c r="B311" s="1" t="s">
        <v>94</v>
      </c>
    </row>
    <row r="312" ht="10.5">
      <c r="B312" s="1" t="s">
        <v>94</v>
      </c>
    </row>
    <row r="313" ht="10.5">
      <c r="B313" s="1" t="s">
        <v>94</v>
      </c>
    </row>
    <row r="314" ht="10.5">
      <c r="B314" s="1" t="s">
        <v>94</v>
      </c>
    </row>
    <row r="315" ht="10.5">
      <c r="B315" s="1" t="s">
        <v>126</v>
      </c>
    </row>
    <row r="316" ht="10.5">
      <c r="B316" s="1" t="s">
        <v>127</v>
      </c>
    </row>
    <row r="317" ht="10.5">
      <c r="B317" s="1" t="s">
        <v>127</v>
      </c>
    </row>
    <row r="318" ht="10.5">
      <c r="B318" s="1" t="s">
        <v>127</v>
      </c>
    </row>
    <row r="319" ht="10.5">
      <c r="B319" s="1" t="s">
        <v>127</v>
      </c>
    </row>
    <row r="320" ht="10.5">
      <c r="B320" s="1" t="s">
        <v>127</v>
      </c>
    </row>
    <row r="321" ht="10.5">
      <c r="B321" s="1" t="s">
        <v>127</v>
      </c>
    </row>
    <row r="322" ht="10.5">
      <c r="B322" s="1" t="s">
        <v>128</v>
      </c>
    </row>
    <row r="323" ht="10.5">
      <c r="B323" s="1" t="s">
        <v>129</v>
      </c>
    </row>
    <row r="324" ht="10.5">
      <c r="B324" s="1" t="s">
        <v>130</v>
      </c>
    </row>
    <row r="325" ht="10.5">
      <c r="B325" s="1" t="s">
        <v>130</v>
      </c>
    </row>
    <row r="326" ht="10.5">
      <c r="B326" s="1" t="s">
        <v>130</v>
      </c>
    </row>
    <row r="327" ht="10.5">
      <c r="B327" s="1" t="s">
        <v>130</v>
      </c>
    </row>
    <row r="328" ht="10.5">
      <c r="B328" s="1" t="s">
        <v>130</v>
      </c>
    </row>
    <row r="329" ht="10.5">
      <c r="B329" s="1" t="s">
        <v>130</v>
      </c>
    </row>
    <row r="330" ht="10.5">
      <c r="B330" s="1" t="s">
        <v>131</v>
      </c>
    </row>
    <row r="331" ht="10.5">
      <c r="B331" s="1" t="s">
        <v>94</v>
      </c>
    </row>
    <row r="332" ht="10.5">
      <c r="B332" s="1" t="s">
        <v>94</v>
      </c>
    </row>
    <row r="333" ht="10.5">
      <c r="B333" s="1" t="s">
        <v>94</v>
      </c>
    </row>
    <row r="334" ht="10.5">
      <c r="B334" s="1" t="s">
        <v>94</v>
      </c>
    </row>
    <row r="335" ht="10.5">
      <c r="B335" s="1" t="s">
        <v>94</v>
      </c>
    </row>
    <row r="336" ht="10.5">
      <c r="B336" s="1" t="s">
        <v>94</v>
      </c>
    </row>
    <row r="337" ht="10.5">
      <c r="B337" s="1" t="s">
        <v>94</v>
      </c>
    </row>
    <row r="338" ht="10.5">
      <c r="B338" s="1" t="s">
        <v>94</v>
      </c>
    </row>
    <row r="339" ht="10.5">
      <c r="B339" s="1" t="s">
        <v>94</v>
      </c>
    </row>
    <row r="340" ht="10.5">
      <c r="B340" s="1" t="s">
        <v>94</v>
      </c>
    </row>
    <row r="341" ht="10.5">
      <c r="B341" s="1" t="s">
        <v>94</v>
      </c>
    </row>
    <row r="342" ht="10.5">
      <c r="B342" s="1" t="s">
        <v>94</v>
      </c>
    </row>
    <row r="343" ht="10.5">
      <c r="B343" s="1" t="s">
        <v>94</v>
      </c>
    </row>
    <row r="344" ht="10.5">
      <c r="B344" s="1" t="s">
        <v>94</v>
      </c>
    </row>
    <row r="345" ht="10.5">
      <c r="B345" s="1" t="s">
        <v>94</v>
      </c>
    </row>
    <row r="346" ht="10.5">
      <c r="B346" s="1" t="s">
        <v>94</v>
      </c>
    </row>
    <row r="347" ht="10.5">
      <c r="B347" s="1" t="s">
        <v>132</v>
      </c>
    </row>
    <row r="348" ht="10.5">
      <c r="B348" s="1" t="s">
        <v>133</v>
      </c>
    </row>
    <row r="349" ht="10.5">
      <c r="B349" s="1" t="s">
        <v>134</v>
      </c>
    </row>
    <row r="350" ht="10.5">
      <c r="B350" s="1" t="s">
        <v>135</v>
      </c>
    </row>
    <row r="351" ht="10.5">
      <c r="B351" s="1" t="s">
        <v>136</v>
      </c>
    </row>
    <row r="352" ht="10.5">
      <c r="B352" s="1" t="s">
        <v>137</v>
      </c>
    </row>
    <row r="353" ht="10.5">
      <c r="B353" s="1" t="s">
        <v>138</v>
      </c>
    </row>
    <row r="354" ht="10.5">
      <c r="B354" s="1" t="s">
        <v>139</v>
      </c>
    </row>
    <row r="355" ht="10.5">
      <c r="B355" s="1" t="s">
        <v>140</v>
      </c>
    </row>
    <row r="356" ht="10.5">
      <c r="B356" s="1" t="s">
        <v>141</v>
      </c>
    </row>
    <row r="357" ht="10.5">
      <c r="B357" s="1" t="s">
        <v>142</v>
      </c>
    </row>
    <row r="358" ht="10.5">
      <c r="B358" s="1" t="s">
        <v>143</v>
      </c>
    </row>
    <row r="359" ht="10.5">
      <c r="B359" s="1" t="s">
        <v>144</v>
      </c>
    </row>
    <row r="360" ht="10.5">
      <c r="B360" s="1" t="s">
        <v>145</v>
      </c>
    </row>
    <row r="361" ht="10.5">
      <c r="B361" s="1" t="s">
        <v>146</v>
      </c>
    </row>
    <row r="362" ht="10.5">
      <c r="B362" s="1" t="s">
        <v>147</v>
      </c>
    </row>
    <row r="363" ht="10.5">
      <c r="B363" s="1" t="s">
        <v>148</v>
      </c>
    </row>
    <row r="364" ht="10.5">
      <c r="B364" s="1" t="s">
        <v>149</v>
      </c>
    </row>
    <row r="365" ht="10.5">
      <c r="B365" s="1" t="s">
        <v>150</v>
      </c>
    </row>
    <row r="366" ht="10.5">
      <c r="B366" s="1" t="s">
        <v>94</v>
      </c>
    </row>
    <row r="367" ht="10.5">
      <c r="B367" s="1" t="s">
        <v>94</v>
      </c>
    </row>
    <row r="368" ht="10.5">
      <c r="B368" s="1" t="s">
        <v>94</v>
      </c>
    </row>
    <row r="369" ht="10.5">
      <c r="B369" s="1" t="s">
        <v>94</v>
      </c>
    </row>
    <row r="370" ht="10.5">
      <c r="B370" s="1" t="s">
        <v>94</v>
      </c>
    </row>
    <row r="371" ht="10.5">
      <c r="B371" s="1" t="s">
        <v>94</v>
      </c>
    </row>
    <row r="372" ht="10.5">
      <c r="B372" s="1" t="s">
        <v>94</v>
      </c>
    </row>
    <row r="373" ht="10.5">
      <c r="B373" s="1" t="s">
        <v>94</v>
      </c>
    </row>
    <row r="374" ht="10.5">
      <c r="B374" s="1" t="s">
        <v>94</v>
      </c>
    </row>
    <row r="375" ht="10.5">
      <c r="B375" s="1" t="s">
        <v>94</v>
      </c>
    </row>
    <row r="376" ht="10.5">
      <c r="B376" s="1" t="s">
        <v>94</v>
      </c>
    </row>
    <row r="377" ht="10.5">
      <c r="B377" s="1" t="s">
        <v>94</v>
      </c>
    </row>
    <row r="378" ht="10.5">
      <c r="B378" s="1" t="s">
        <v>94</v>
      </c>
    </row>
    <row r="379" ht="10.5">
      <c r="B379" s="1" t="s">
        <v>94</v>
      </c>
    </row>
    <row r="380" ht="10.5">
      <c r="B380" s="1" t="s">
        <v>94</v>
      </c>
    </row>
    <row r="381" ht="10.5">
      <c r="B381" s="1" t="s">
        <v>94</v>
      </c>
    </row>
    <row r="382" ht="10.5">
      <c r="B382" s="1" t="s">
        <v>94</v>
      </c>
    </row>
    <row r="383" ht="10.5">
      <c r="B383" s="1" t="s">
        <v>94</v>
      </c>
    </row>
    <row r="384" ht="10.5">
      <c r="B384" s="1" t="s">
        <v>94</v>
      </c>
    </row>
    <row r="385" ht="10.5">
      <c r="B385" s="1" t="s">
        <v>94</v>
      </c>
    </row>
    <row r="386" ht="10.5">
      <c r="B386" s="1" t="s">
        <v>94</v>
      </c>
    </row>
    <row r="387" ht="10.5">
      <c r="B387" s="1" t="s">
        <v>94</v>
      </c>
    </row>
    <row r="388" ht="10.5">
      <c r="B388" s="1" t="s">
        <v>94</v>
      </c>
    </row>
    <row r="389" ht="10.5">
      <c r="B389" s="1" t="s">
        <v>94</v>
      </c>
    </row>
    <row r="390" ht="10.5">
      <c r="B390" s="1" t="s">
        <v>94</v>
      </c>
    </row>
    <row r="391" ht="10.5">
      <c r="B391" s="1" t="s">
        <v>94</v>
      </c>
    </row>
    <row r="392" ht="10.5">
      <c r="B392" s="1" t="s">
        <v>94</v>
      </c>
    </row>
    <row r="393" ht="10.5">
      <c r="B393" s="1" t="s">
        <v>94</v>
      </c>
    </row>
    <row r="394" ht="10.5">
      <c r="B394" s="1" t="s">
        <v>94</v>
      </c>
    </row>
    <row r="395" ht="10.5">
      <c r="B395" s="1" t="s">
        <v>94</v>
      </c>
    </row>
    <row r="396" ht="10.5">
      <c r="B396" s="1" t="s">
        <v>94</v>
      </c>
    </row>
    <row r="397" ht="10.5">
      <c r="B397" s="1" t="s">
        <v>94</v>
      </c>
    </row>
    <row r="398" ht="10.5">
      <c r="B398" s="1" t="s">
        <v>94</v>
      </c>
    </row>
    <row r="399" ht="10.5">
      <c r="B399" s="1" t="s">
        <v>94</v>
      </c>
    </row>
    <row r="400" ht="10.5">
      <c r="B400" s="1" t="s">
        <v>94</v>
      </c>
    </row>
  </sheetData>
  <printOptions/>
  <pageMargins left="0.75" right="0.75" top="1" bottom="1.1" header="0.5" footer="0.5"/>
  <pageSetup fitToHeight="2" horizontalDpi="180" verticalDpi="180" orientation="portrait" paperSize="39" r:id="rId1"/>
  <headerFooter alignWithMargins="0">
    <oddFooter>&amp;CPage &amp;P</oddFooter>
  </headerFooter>
  <rowBreaks count="1" manualBreakCount="1">
    <brk id="4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5"/>
  <sheetViews>
    <sheetView showGridLines="0" tabSelected="1" workbookViewId="0" topLeftCell="B1">
      <pane ySplit="1" topLeftCell="BM34" activePane="bottomLeft" state="frozen"/>
      <selection pane="topLeft" activeCell="D59" sqref="D59"/>
      <selection pane="bottomLeft" activeCell="C50" sqref="C50"/>
    </sheetView>
  </sheetViews>
  <sheetFormatPr defaultColWidth="9.00390625" defaultRowHeight="12.75"/>
  <cols>
    <col min="1" max="1" width="2.25390625" style="98" customWidth="1"/>
    <col min="2" max="2" width="20.00390625" style="98" customWidth="1"/>
    <col min="3" max="3" width="8.875" style="98" customWidth="1"/>
    <col min="4" max="4" width="7.125" style="98" customWidth="1"/>
    <col min="5" max="5" width="7.625" style="98" customWidth="1"/>
    <col min="6" max="6" width="7.25390625" style="98" customWidth="1"/>
    <col min="7" max="7" width="7.625" style="98" customWidth="1"/>
    <col min="8" max="9" width="7.375" style="98" customWidth="1"/>
    <col min="10" max="10" width="9.875" style="98" customWidth="1"/>
    <col min="11" max="11" width="8.00390625" style="98" customWidth="1"/>
    <col min="12" max="12" width="8.625" style="98" customWidth="1"/>
    <col min="13" max="13" width="7.625" style="98" customWidth="1"/>
    <col min="14" max="14" width="7.625" style="99" customWidth="1"/>
    <col min="15" max="16384" width="9.00390625" style="99" customWidth="1"/>
  </cols>
  <sheetData>
    <row r="1" spans="1:13" s="96" customFormat="1" ht="18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1.25">
      <c r="A2" s="97"/>
    </row>
    <row r="3" spans="1:13" ht="12.75">
      <c r="A3" s="97"/>
      <c r="B3" s="100" t="s">
        <v>151</v>
      </c>
      <c r="C3" s="99"/>
      <c r="D3" s="99"/>
      <c r="E3" s="99"/>
      <c r="F3" s="99"/>
      <c r="G3" s="99"/>
      <c r="H3" s="101"/>
      <c r="I3" s="101"/>
      <c r="J3" s="101"/>
      <c r="K3" s="101"/>
      <c r="L3" s="99"/>
      <c r="M3" s="101"/>
    </row>
    <row r="4" spans="1:6" ht="11.25">
      <c r="A4" s="97"/>
      <c r="B4" s="102" t="s">
        <v>152</v>
      </c>
      <c r="C4" s="161" t="str">
        <f>'Company Info'!$A$236</f>
        <v>MCDONALDS CORP</v>
      </c>
      <c r="F4" s="103" t="s">
        <v>153</v>
      </c>
    </row>
    <row r="5" spans="1:10" ht="11.25">
      <c r="A5" s="97"/>
      <c r="B5" s="102" t="s">
        <v>154</v>
      </c>
      <c r="C5" s="162">
        <f>'Company Info'!$A$240</f>
        <v>34880</v>
      </c>
      <c r="F5" s="97"/>
      <c r="G5" s="97"/>
      <c r="H5" s="97"/>
      <c r="I5" s="97"/>
      <c r="J5" s="97"/>
    </row>
    <row r="6" spans="1:10" ht="11.25">
      <c r="A6" s="97"/>
      <c r="B6" s="102" t="s">
        <v>155</v>
      </c>
      <c r="C6" s="161" t="str">
        <f>IF('Company Info'!$A$239="S","S&amp;P",IF('Company Info'!$A$239="V","Value Line","Other"))</f>
        <v>S&amp;P</v>
      </c>
      <c r="F6" s="97"/>
      <c r="G6" s="102" t="s">
        <v>156</v>
      </c>
      <c r="H6" s="164">
        <f>'Company Info'!$A$98</f>
        <v>694.8</v>
      </c>
      <c r="I6" s="104"/>
      <c r="J6" s="97"/>
    </row>
    <row r="7" spans="1:10" ht="11.25">
      <c r="A7" s="97"/>
      <c r="B7" s="102" t="s">
        <v>157</v>
      </c>
      <c r="C7" s="161" t="str">
        <f>'Company Info'!$A$237</f>
        <v>MCD</v>
      </c>
      <c r="F7" s="97"/>
      <c r="G7" s="102" t="s">
        <v>158</v>
      </c>
      <c r="H7" s="166" t="str">
        <f>IF('Company Info'!$A$99&gt;=0,"n/a",('Company Info'!$A$99*1000000))</f>
        <v>n/a</v>
      </c>
      <c r="I7" s="105"/>
      <c r="J7" s="97"/>
    </row>
    <row r="8" spans="1:10" ht="11.25">
      <c r="A8" s="97"/>
      <c r="B8" s="102" t="s">
        <v>159</v>
      </c>
      <c r="C8" s="161" t="str">
        <f>'Company Info'!$A$238</f>
        <v>NYSE</v>
      </c>
      <c r="F8" s="97"/>
      <c r="G8" s="102" t="s">
        <v>160</v>
      </c>
      <c r="H8" s="166" t="str">
        <f>IF('Company Info'!$A$100&gt;=0,"n/a",('Company Info'!$A$100*1000000))</f>
        <v>n/a</v>
      </c>
      <c r="I8" s="105"/>
      <c r="J8" s="97"/>
    </row>
    <row r="9" spans="1:10" ht="11.25">
      <c r="A9" s="97"/>
      <c r="B9" s="102" t="s">
        <v>161</v>
      </c>
      <c r="C9" s="162" t="str">
        <f>'Company Info'!$A$244</f>
        <v>EATING PLACES</v>
      </c>
      <c r="F9" s="97"/>
      <c r="G9" s="102" t="s">
        <v>162</v>
      </c>
      <c r="H9" s="166" t="str">
        <f>IF('Company Info'!$A$101&gt;=0,"n/a",('Company Info'!$A$101*1000000))</f>
        <v>n/a</v>
      </c>
      <c r="I9" s="105"/>
      <c r="J9" s="97"/>
    </row>
    <row r="10" spans="1:10" ht="11.25">
      <c r="A10" s="97"/>
      <c r="B10" s="102" t="s">
        <v>163</v>
      </c>
      <c r="C10" s="163">
        <f>'Company Info'!$A$91</f>
        <v>39.12</v>
      </c>
      <c r="F10" s="97"/>
      <c r="G10" s="102" t="s">
        <v>164</v>
      </c>
      <c r="H10" s="167">
        <f>'Company Info'!$A$231</f>
        <v>3986.4</v>
      </c>
      <c r="I10" s="104"/>
      <c r="J10" s="97"/>
    </row>
    <row r="11" spans="1:10" ht="11.25">
      <c r="A11" s="97"/>
      <c r="B11" s="102" t="s">
        <v>165</v>
      </c>
      <c r="C11" s="164">
        <f>'Company Info'!$A$92</f>
        <v>22.49</v>
      </c>
      <c r="F11" s="97"/>
      <c r="G11" s="102" t="s">
        <v>166</v>
      </c>
      <c r="H11" s="167">
        <f>'Company Info'!$A$102</f>
        <v>4486.2</v>
      </c>
      <c r="I11" s="104"/>
      <c r="J11" s="97"/>
    </row>
    <row r="12" spans="1:10" ht="11.25">
      <c r="A12" s="97"/>
      <c r="B12" s="102" t="s">
        <v>167</v>
      </c>
      <c r="C12" s="165">
        <f>'Company Info'!$A$93</f>
        <v>0.27</v>
      </c>
      <c r="F12" s="97"/>
      <c r="G12" s="102" t="s">
        <v>168</v>
      </c>
      <c r="H12" s="166">
        <f>'Company Info'!A103</f>
        <v>20.5</v>
      </c>
      <c r="I12" s="105"/>
      <c r="J12" s="97"/>
    </row>
    <row r="13" spans="1:2" ht="11.25">
      <c r="A13" s="97"/>
      <c r="B13" s="106"/>
    </row>
    <row r="14" spans="1:2" ht="11.25">
      <c r="A14" s="97"/>
      <c r="B14" s="106"/>
    </row>
    <row r="15" spans="1:13" ht="12.75">
      <c r="A15" s="97"/>
      <c r="B15" s="100" t="s">
        <v>169</v>
      </c>
      <c r="C15" s="99"/>
      <c r="D15" s="99"/>
      <c r="E15" s="99"/>
      <c r="F15" s="99"/>
      <c r="G15" s="99"/>
      <c r="H15" s="101"/>
      <c r="I15" s="101"/>
      <c r="J15" s="101"/>
      <c r="K15" s="101"/>
      <c r="L15" s="99"/>
      <c r="M15" s="101"/>
    </row>
    <row r="16" spans="1:13" ht="11.25">
      <c r="A16" s="97"/>
      <c r="B16" s="103"/>
      <c r="C16" s="99"/>
      <c r="D16" s="99"/>
      <c r="E16" s="99"/>
      <c r="F16" s="99"/>
      <c r="G16" s="99"/>
      <c r="H16" s="101"/>
      <c r="I16" s="101"/>
      <c r="J16" s="101"/>
      <c r="K16" s="101"/>
      <c r="L16" s="99"/>
      <c r="M16" s="101"/>
    </row>
    <row r="17" spans="1:13" ht="11.25">
      <c r="A17" s="97"/>
      <c r="B17" s="107" t="s">
        <v>170</v>
      </c>
      <c r="C17" s="99"/>
      <c r="D17" s="99"/>
      <c r="E17" s="99"/>
      <c r="F17" s="99"/>
      <c r="G17" s="99"/>
      <c r="H17" s="101"/>
      <c r="I17" s="101"/>
      <c r="J17" s="101"/>
      <c r="K17" s="101"/>
      <c r="L17" s="99"/>
      <c r="M17" s="101"/>
    </row>
    <row r="18" spans="1:13" ht="11.25">
      <c r="A18" s="97"/>
      <c r="B18" s="108" t="s">
        <v>171</v>
      </c>
      <c r="C18" s="162">
        <f>'Company Info'!$A$255</f>
        <v>34789</v>
      </c>
      <c r="D18" s="97"/>
      <c r="E18" s="99"/>
      <c r="F18" s="99"/>
      <c r="G18" s="99"/>
      <c r="H18" s="101"/>
      <c r="I18" s="101"/>
      <c r="J18" s="101"/>
      <c r="K18" s="101"/>
      <c r="L18" s="99"/>
      <c r="M18" s="101"/>
    </row>
    <row r="19" spans="1:13" ht="11.25">
      <c r="A19" s="97"/>
      <c r="B19" s="106"/>
      <c r="C19" s="109" t="s">
        <v>172</v>
      </c>
      <c r="D19" s="109" t="s">
        <v>173</v>
      </c>
      <c r="E19" s="97"/>
      <c r="F19" s="99"/>
      <c r="G19" s="99"/>
      <c r="H19" s="101"/>
      <c r="I19" s="101"/>
      <c r="J19" s="101"/>
      <c r="K19" s="101"/>
      <c r="L19" s="99"/>
      <c r="M19" s="101"/>
    </row>
    <row r="20" spans="1:13" ht="11.25">
      <c r="A20" s="97"/>
      <c r="B20" s="102" t="s">
        <v>174</v>
      </c>
      <c r="C20" s="168">
        <f>'Company Info'!$A$104</f>
        <v>2161.3</v>
      </c>
      <c r="D20" s="170">
        <f>'Company Info'!$A$106</f>
        <v>0.39</v>
      </c>
      <c r="E20" s="97"/>
      <c r="F20" s="99"/>
      <c r="G20" s="99"/>
      <c r="H20" s="101"/>
      <c r="I20" s="101"/>
      <c r="J20" s="101"/>
      <c r="K20" s="101"/>
      <c r="L20" s="99"/>
      <c r="M20" s="101"/>
    </row>
    <row r="21" spans="1:13" ht="11.25">
      <c r="A21" s="97"/>
      <c r="B21" s="102" t="s">
        <v>175</v>
      </c>
      <c r="C21" s="168">
        <f>'Company Info'!$A$105</f>
        <v>1796</v>
      </c>
      <c r="D21" s="170">
        <f>'Company Info'!$A$107</f>
        <v>0.33</v>
      </c>
      <c r="E21" s="97"/>
      <c r="F21" s="99"/>
      <c r="G21" s="99"/>
      <c r="H21" s="101"/>
      <c r="I21" s="101"/>
      <c r="J21" s="101"/>
      <c r="K21" s="101"/>
      <c r="L21" s="99"/>
      <c r="M21" s="101"/>
    </row>
    <row r="22" spans="1:13" ht="11.25">
      <c r="A22" s="97"/>
      <c r="B22" s="102" t="s">
        <v>176</v>
      </c>
      <c r="C22" s="169">
        <f>(C20-C21)/C21</f>
        <v>0.20339643652561257</v>
      </c>
      <c r="D22" s="169">
        <f>(D20-D21)/D21</f>
        <v>0.1818181818181818</v>
      </c>
      <c r="E22" s="97"/>
      <c r="F22" s="99"/>
      <c r="G22" s="99"/>
      <c r="H22" s="101"/>
      <c r="I22" s="101"/>
      <c r="J22" s="101"/>
      <c r="K22" s="101"/>
      <c r="L22" s="99"/>
      <c r="M22" s="101"/>
    </row>
    <row r="23" spans="1:13" ht="11.25">
      <c r="A23" s="97"/>
      <c r="B23" s="103"/>
      <c r="C23" s="99"/>
      <c r="D23" s="99"/>
      <c r="E23" s="99"/>
      <c r="F23" s="99"/>
      <c r="G23" s="99"/>
      <c r="H23" s="101"/>
      <c r="I23" s="101"/>
      <c r="J23" s="101"/>
      <c r="K23" s="101"/>
      <c r="L23" s="99"/>
      <c r="M23" s="101"/>
    </row>
    <row r="24" spans="1:13" ht="12.75">
      <c r="A24" s="97"/>
      <c r="B24" s="110" t="s">
        <v>177</v>
      </c>
      <c r="C24" s="99"/>
      <c r="D24" s="99"/>
      <c r="E24" s="99"/>
      <c r="F24" s="99"/>
      <c r="G24" s="99"/>
      <c r="H24" s="101"/>
      <c r="I24" s="101"/>
      <c r="J24" s="101"/>
      <c r="K24" s="101"/>
      <c r="L24" s="99"/>
      <c r="M24" s="101"/>
    </row>
    <row r="25" spans="1:13" ht="12" thickBot="1">
      <c r="A25" s="97"/>
      <c r="B25" s="107"/>
      <c r="C25" s="99"/>
      <c r="D25" s="99"/>
      <c r="E25" s="99"/>
      <c r="F25" s="99"/>
      <c r="G25" s="99"/>
      <c r="H25" s="101"/>
      <c r="I25" s="101"/>
      <c r="J25" s="101"/>
      <c r="K25" s="101"/>
      <c r="L25" s="99"/>
      <c r="M25" s="101"/>
    </row>
    <row r="26" spans="1:13" ht="12" thickBot="1">
      <c r="A26" s="97"/>
      <c r="B26" s="111"/>
      <c r="C26" s="112">
        <f>'Company Info'!$A$94-9</f>
        <v>1985</v>
      </c>
      <c r="D26" s="112">
        <f>'Company Info'!$A$94-8</f>
        <v>1986</v>
      </c>
      <c r="E26" s="112">
        <f>'Company Info'!$A$94-7</f>
        <v>1987</v>
      </c>
      <c r="F26" s="112">
        <f>'Company Info'!$A$94-6</f>
        <v>1988</v>
      </c>
      <c r="G26" s="112">
        <f>'Company Info'!$A$94-5</f>
        <v>1989</v>
      </c>
      <c r="H26" s="112">
        <f>'Company Info'!$A$94-4</f>
        <v>1990</v>
      </c>
      <c r="I26" s="112">
        <f>'Company Info'!$A$94-3</f>
        <v>1991</v>
      </c>
      <c r="J26" s="112">
        <f>'Company Info'!$A$94-2</f>
        <v>1992</v>
      </c>
      <c r="K26" s="112">
        <f>'Company Info'!$A$94-1</f>
        <v>1993</v>
      </c>
      <c r="L26" s="113">
        <f>'Company Info'!$A$94</f>
        <v>1994</v>
      </c>
      <c r="M26" s="114"/>
    </row>
    <row r="27" spans="1:13" ht="11.25">
      <c r="A27" s="97"/>
      <c r="B27" s="115" t="s">
        <v>4</v>
      </c>
      <c r="C27" s="8">
        <f>'Company Info'!$A$21</f>
        <v>3694.75</v>
      </c>
      <c r="D27" s="8">
        <f>'Company Info'!$A$22</f>
        <v>4143.5</v>
      </c>
      <c r="E27" s="8">
        <f>'Company Info'!$A$23</f>
        <v>4853.21</v>
      </c>
      <c r="F27" s="8">
        <f>'Company Info'!$A$24</f>
        <v>5520.76</v>
      </c>
      <c r="G27" s="8">
        <f>'Company Info'!$A$25</f>
        <v>6065</v>
      </c>
      <c r="H27" s="8">
        <f>'Company Info'!$A$26</f>
        <v>6639.6</v>
      </c>
      <c r="I27" s="8">
        <f>'Company Info'!$A$27</f>
        <v>6695</v>
      </c>
      <c r="J27" s="8">
        <f>'Company Info'!$A$28</f>
        <v>7133.3</v>
      </c>
      <c r="K27" s="8">
        <f>'Company Info'!$A$29</f>
        <v>7408.1</v>
      </c>
      <c r="L27" s="9">
        <f>'Company Info'!$A$30</f>
        <v>8320.8</v>
      </c>
      <c r="M27" s="116"/>
    </row>
    <row r="28" spans="1:13" ht="11.25">
      <c r="A28" s="97"/>
      <c r="B28" s="115" t="s">
        <v>178</v>
      </c>
      <c r="C28" s="10">
        <f>'Company Info'!$A$71</f>
        <v>0.55</v>
      </c>
      <c r="D28" s="10">
        <f>'Company Info'!$A$72</f>
        <v>0.62</v>
      </c>
      <c r="E28" s="10">
        <f>'Company Info'!$A$73</f>
        <v>0.72</v>
      </c>
      <c r="F28" s="10">
        <f>'Company Info'!$A$74</f>
        <v>0.86</v>
      </c>
      <c r="G28" s="10">
        <f>'Company Info'!$A$75</f>
        <v>0.97</v>
      </c>
      <c r="H28" s="10">
        <f>'Company Info'!$A$76</f>
        <v>1.1</v>
      </c>
      <c r="I28" s="10">
        <f>'Company Info'!$A$77</f>
        <v>1.17</v>
      </c>
      <c r="J28" s="10">
        <f>'Company Info'!$A$78</f>
        <v>1.3</v>
      </c>
      <c r="K28" s="10">
        <f>'Company Info'!$A$79</f>
        <v>1.45</v>
      </c>
      <c r="L28" s="11">
        <f>'Company Info'!$A$80</f>
        <v>1.68</v>
      </c>
      <c r="M28" s="101"/>
    </row>
    <row r="29" spans="1:13" ht="11.25">
      <c r="A29" s="97"/>
      <c r="B29" s="115" t="s">
        <v>179</v>
      </c>
      <c r="C29" s="8">
        <f>'Company Info'!$A$41</f>
        <v>782.24</v>
      </c>
      <c r="D29" s="8">
        <f>'Company Info'!$A$42</f>
        <v>848.12</v>
      </c>
      <c r="E29" s="8">
        <f>'Company Info'!$A$43</f>
        <v>958.76</v>
      </c>
      <c r="F29" s="8">
        <f>'Company Info'!$A$44</f>
        <v>1046.46</v>
      </c>
      <c r="G29" s="8">
        <f>'Company Info'!$A$45</f>
        <v>1157</v>
      </c>
      <c r="H29" s="8">
        <f>'Company Info'!$A$46</f>
        <v>1246.3</v>
      </c>
      <c r="I29" s="8">
        <f>'Company Info'!$A$47</f>
        <v>1299.4</v>
      </c>
      <c r="J29" s="8">
        <f>'Company Info'!$A$48</f>
        <v>1448.1</v>
      </c>
      <c r="K29" s="8">
        <f>'Company Info'!$A$49</f>
        <v>1675.7</v>
      </c>
      <c r="L29" s="9">
        <f>'Company Info'!$A$50</f>
        <v>1886.6</v>
      </c>
      <c r="M29" s="116"/>
    </row>
    <row r="30" spans="1:13" ht="11.25">
      <c r="A30" s="97"/>
      <c r="B30" s="115" t="s">
        <v>0</v>
      </c>
      <c r="C30" s="10">
        <f>'Company Info'!$A$1</f>
        <v>9.08</v>
      </c>
      <c r="D30" s="10">
        <f>'Company Info'!$A$2</f>
        <v>12.79</v>
      </c>
      <c r="E30" s="10">
        <f>'Company Info'!$A$3</f>
        <v>15.28</v>
      </c>
      <c r="F30" s="10">
        <f>'Company Info'!$A$4</f>
        <v>12.75</v>
      </c>
      <c r="G30" s="10">
        <f>'Company Info'!$A$5</f>
        <v>17.44</v>
      </c>
      <c r="H30" s="10">
        <f>'Company Info'!$A$6</f>
        <v>19.25</v>
      </c>
      <c r="I30" s="10">
        <f>'Company Info'!$A$7</f>
        <v>19.94</v>
      </c>
      <c r="J30" s="10">
        <f>'Company Info'!$A$8</f>
        <v>25.19</v>
      </c>
      <c r="K30" s="10">
        <f>'Company Info'!$A$9</f>
        <v>29.56</v>
      </c>
      <c r="L30" s="11">
        <f>'Company Info'!$A$10</f>
        <v>31.37</v>
      </c>
      <c r="M30" s="101"/>
    </row>
    <row r="31" spans="1:13" ht="12" thickBot="1">
      <c r="A31" s="97"/>
      <c r="B31" s="117" t="s">
        <v>2</v>
      </c>
      <c r="C31" s="12">
        <f>'Company Info'!$A$11</f>
        <v>5.68</v>
      </c>
      <c r="D31" s="12">
        <f>'Company Info'!$A$12</f>
        <v>8.11</v>
      </c>
      <c r="E31" s="12">
        <f>'Company Info'!$A$13</f>
        <v>7.84</v>
      </c>
      <c r="F31" s="12">
        <f>'Company Info'!$A$14</f>
        <v>10.19</v>
      </c>
      <c r="G31" s="12">
        <f>'Company Info'!$A$15</f>
        <v>11.5</v>
      </c>
      <c r="H31" s="12">
        <f>'Company Info'!$A$16</f>
        <v>12.5</v>
      </c>
      <c r="I31" s="12">
        <f>'Company Info'!$A$17</f>
        <v>13.06</v>
      </c>
      <c r="J31" s="12">
        <f>'Company Info'!$A$18</f>
        <v>19.12</v>
      </c>
      <c r="K31" s="12">
        <f>'Company Info'!$A$19</f>
        <v>22.75</v>
      </c>
      <c r="L31" s="13">
        <f>'Company Info'!$A$20</f>
        <v>25.62</v>
      </c>
      <c r="M31" s="101"/>
    </row>
    <row r="32" spans="1:13" ht="11.25">
      <c r="A32" s="97"/>
      <c r="B32" s="118"/>
      <c r="C32" s="99"/>
      <c r="D32" s="99"/>
      <c r="E32" s="99"/>
      <c r="F32" s="99"/>
      <c r="G32" s="99"/>
      <c r="H32" s="101"/>
      <c r="I32" s="101"/>
      <c r="J32" s="101"/>
      <c r="K32" s="101"/>
      <c r="L32" s="99"/>
      <c r="M32" s="101"/>
    </row>
    <row r="33" spans="1:13" ht="11.25">
      <c r="A33" s="97"/>
      <c r="B33" s="119" t="s">
        <v>180</v>
      </c>
      <c r="C33" s="14">
        <f>LOGEST(C27:L27)-1</f>
        <v>0.08834474490621513</v>
      </c>
      <c r="E33" s="119" t="s">
        <v>181</v>
      </c>
      <c r="F33" s="97"/>
      <c r="G33" s="97"/>
      <c r="H33" s="14">
        <f>LOGEST(C28:L28)-1</f>
        <v>0.1288675148797538</v>
      </c>
      <c r="I33" s="97"/>
      <c r="J33" s="119" t="s">
        <v>182</v>
      </c>
      <c r="K33" s="97"/>
      <c r="L33" s="97"/>
      <c r="M33" s="14">
        <f>'Company Info'!$A$229</f>
        <v>0.142</v>
      </c>
    </row>
    <row r="34" spans="1:13" ht="11.25">
      <c r="A34" s="97"/>
      <c r="B34" s="119" t="s">
        <v>183</v>
      </c>
      <c r="C34" s="14">
        <f>LOGEST(H27:L27)-1</f>
        <v>0.056818139225553344</v>
      </c>
      <c r="E34" s="119" t="s">
        <v>184</v>
      </c>
      <c r="F34" s="97"/>
      <c r="G34" s="97"/>
      <c r="H34" s="14">
        <f>LOGEST(H28:L28)-1</f>
        <v>0.11199166854474951</v>
      </c>
      <c r="I34" s="97"/>
      <c r="J34" s="120" t="s">
        <v>185</v>
      </c>
      <c r="K34" s="97"/>
      <c r="L34" s="97"/>
      <c r="M34" s="15">
        <f>IF(('Company Info'!$A$109)&lt;=0,"n/a",('Company Info'!$A$109))</f>
        <v>3.265</v>
      </c>
    </row>
    <row r="35" spans="1:13" ht="11.25">
      <c r="A35" s="97"/>
      <c r="B35" s="119" t="s">
        <v>186</v>
      </c>
      <c r="C35" s="16" t="str">
        <f>IF(('Company Info'!$A$128)&lt;=0,"n/a",('Company Info'!$A$128))</f>
        <v>n/a</v>
      </c>
      <c r="D35" s="97"/>
      <c r="E35" s="119" t="s">
        <v>187</v>
      </c>
      <c r="F35" s="97"/>
      <c r="G35" s="97"/>
      <c r="H35" s="16" t="str">
        <f>IF(('Company Info'!$A$198)&lt;=0,"n/a",('Company Info'!$A$198))</f>
        <v>n/a</v>
      </c>
      <c r="I35" s="97"/>
      <c r="J35" s="97"/>
      <c r="K35" s="97"/>
      <c r="L35" s="97"/>
      <c r="M35" s="121"/>
    </row>
    <row r="36" spans="1:13" ht="11.25">
      <c r="A36" s="97"/>
      <c r="B36" s="119" t="s">
        <v>188</v>
      </c>
      <c r="C36" s="17" t="str">
        <f>IF(('Company Info'!$A$134)&lt;=0,"n/a",('Company Info'!$A$134))</f>
        <v>n/a</v>
      </c>
      <c r="D36" s="97"/>
      <c r="E36" s="120" t="s">
        <v>189</v>
      </c>
      <c r="F36" s="97"/>
      <c r="G36" s="97"/>
      <c r="H36" s="15" t="str">
        <f>IF(('Company Info'!$A$150)&lt;=0,"n/a",('Company Info'!$A$150))</f>
        <v>n/a</v>
      </c>
      <c r="I36" s="97"/>
      <c r="J36" s="97"/>
      <c r="K36" s="97"/>
      <c r="L36" s="97"/>
      <c r="M36" s="121"/>
    </row>
    <row r="37" spans="1:13" ht="11.25">
      <c r="A37" s="97"/>
      <c r="B37" s="97"/>
      <c r="C37" s="97"/>
      <c r="D37" s="97"/>
      <c r="E37" s="97"/>
      <c r="F37" s="97"/>
      <c r="G37" s="106"/>
      <c r="H37" s="97"/>
      <c r="I37" s="97"/>
      <c r="J37" s="97"/>
      <c r="K37" s="97"/>
      <c r="L37" s="97"/>
      <c r="M37" s="121"/>
    </row>
    <row r="38" spans="1:14" ht="12.75">
      <c r="A38" s="97"/>
      <c r="B38" s="100" t="s">
        <v>190</v>
      </c>
      <c r="C38" s="99"/>
      <c r="D38" s="99"/>
      <c r="E38" s="99"/>
      <c r="F38" s="99"/>
      <c r="G38" s="99"/>
      <c r="H38" s="101"/>
      <c r="I38" s="101"/>
      <c r="J38" s="101"/>
      <c r="K38" s="101"/>
      <c r="L38" s="99"/>
      <c r="M38" s="122"/>
      <c r="N38" s="122"/>
    </row>
    <row r="39" spans="1:14" ht="12" thickBot="1">
      <c r="A39" s="97"/>
      <c r="B39" s="118"/>
      <c r="C39" s="99"/>
      <c r="D39" s="99"/>
      <c r="E39" s="99"/>
      <c r="F39" s="99"/>
      <c r="G39" s="99"/>
      <c r="H39" s="101"/>
      <c r="I39" s="101"/>
      <c r="J39" s="101"/>
      <c r="K39" s="101"/>
      <c r="L39" s="99"/>
      <c r="M39" s="122"/>
      <c r="N39" s="122"/>
    </row>
    <row r="40" spans="1:14" ht="12" thickBot="1">
      <c r="A40" s="97"/>
      <c r="B40" s="123"/>
      <c r="C40" s="124">
        <f>'Company Info'!$A$94-9</f>
        <v>1985</v>
      </c>
      <c r="D40" s="124">
        <f>'Company Info'!$A$94-8</f>
        <v>1986</v>
      </c>
      <c r="E40" s="124">
        <f>'Company Info'!$A$94-7</f>
        <v>1987</v>
      </c>
      <c r="F40" s="124">
        <f>'Company Info'!$A$94-6</f>
        <v>1988</v>
      </c>
      <c r="G40" s="124">
        <f>'Company Info'!$A$94-5</f>
        <v>1989</v>
      </c>
      <c r="H40" s="124">
        <f>'Company Info'!$A$94-4</f>
        <v>1990</v>
      </c>
      <c r="I40" s="124">
        <f>'Company Info'!$A$94-3</f>
        <v>1991</v>
      </c>
      <c r="J40" s="124">
        <f>'Company Info'!$A$94-2</f>
        <v>1992</v>
      </c>
      <c r="K40" s="124">
        <f>'Company Info'!$A$94-1</f>
        <v>1993</v>
      </c>
      <c r="L40" s="124">
        <f>'Company Info'!$A$94</f>
        <v>1994</v>
      </c>
      <c r="M40" s="125" t="s">
        <v>191</v>
      </c>
      <c r="N40" s="126" t="s">
        <v>192</v>
      </c>
    </row>
    <row r="41" spans="1:14" ht="11.25">
      <c r="A41" s="97"/>
      <c r="B41" s="127" t="s">
        <v>179</v>
      </c>
      <c r="C41" s="171">
        <f>'Company Info'!$A$41</f>
        <v>782.24</v>
      </c>
      <c r="D41" s="171">
        <f>'Company Info'!$A$42</f>
        <v>848.12</v>
      </c>
      <c r="E41" s="171">
        <f>'Company Info'!$A$43</f>
        <v>958.76</v>
      </c>
      <c r="F41" s="171">
        <f>'Company Info'!$A$44</f>
        <v>1046.46</v>
      </c>
      <c r="G41" s="171">
        <f>'Company Info'!$A$45</f>
        <v>1157</v>
      </c>
      <c r="H41" s="171">
        <f>'Company Info'!$A$46</f>
        <v>1246.3</v>
      </c>
      <c r="I41" s="171">
        <f>'Company Info'!$A$47</f>
        <v>1299.4</v>
      </c>
      <c r="J41" s="171">
        <f>'Company Info'!$A$48</f>
        <v>1448.1</v>
      </c>
      <c r="K41" s="171">
        <f>'Company Info'!$A$49</f>
        <v>1675.7</v>
      </c>
      <c r="L41" s="171">
        <f>'Company Info'!$A$50</f>
        <v>1886.6</v>
      </c>
      <c r="M41" s="128"/>
      <c r="N41" s="129"/>
    </row>
    <row r="42" spans="1:14" ht="11.25">
      <c r="A42" s="97"/>
      <c r="B42" s="127" t="s">
        <v>4</v>
      </c>
      <c r="C42" s="171">
        <f>'Company Info'!$A$21</f>
        <v>3694.75</v>
      </c>
      <c r="D42" s="171">
        <f>'Company Info'!$A$22</f>
        <v>4143.5</v>
      </c>
      <c r="E42" s="171">
        <f>'Company Info'!$A$23</f>
        <v>4853.21</v>
      </c>
      <c r="F42" s="171">
        <f>'Company Info'!$A$24</f>
        <v>5520.76</v>
      </c>
      <c r="G42" s="171">
        <f>'Company Info'!$A$25</f>
        <v>6065</v>
      </c>
      <c r="H42" s="171">
        <f>'Company Info'!$A$26</f>
        <v>6639.6</v>
      </c>
      <c r="I42" s="171">
        <f>'Company Info'!$A$27</f>
        <v>6695</v>
      </c>
      <c r="J42" s="171">
        <f>'Company Info'!$A$28</f>
        <v>7133.3</v>
      </c>
      <c r="K42" s="171">
        <f>'Company Info'!$A$29</f>
        <v>7408.1</v>
      </c>
      <c r="L42" s="171">
        <f>'Company Info'!$A$30</f>
        <v>8320.8</v>
      </c>
      <c r="M42" s="128"/>
      <c r="N42" s="129"/>
    </row>
    <row r="43" spans="1:14" ht="11.25">
      <c r="A43" s="97"/>
      <c r="B43" s="130" t="s">
        <v>193</v>
      </c>
      <c r="C43" s="172">
        <f aca="true" t="shared" si="0" ref="C43:L43">C41/C42</f>
        <v>0.21171662494079438</v>
      </c>
      <c r="D43" s="172">
        <f t="shared" si="0"/>
        <v>0.2046868589356824</v>
      </c>
      <c r="E43" s="172">
        <f t="shared" si="0"/>
        <v>0.19755172349846803</v>
      </c>
      <c r="F43" s="172">
        <f t="shared" si="0"/>
        <v>0.18954998949420007</v>
      </c>
      <c r="G43" s="172">
        <f t="shared" si="0"/>
        <v>0.1907666941467436</v>
      </c>
      <c r="H43" s="172">
        <f t="shared" si="0"/>
        <v>0.1877070907886017</v>
      </c>
      <c r="I43" s="172">
        <f t="shared" si="0"/>
        <v>0.1940851381628081</v>
      </c>
      <c r="J43" s="172">
        <f t="shared" si="0"/>
        <v>0.20300562152159587</v>
      </c>
      <c r="K43" s="172">
        <f t="shared" si="0"/>
        <v>0.22619835045423253</v>
      </c>
      <c r="L43" s="172">
        <f t="shared" si="0"/>
        <v>0.2267330064416883</v>
      </c>
      <c r="M43" s="175">
        <f>AVERAGE(H43:L43)</f>
        <v>0.20754584147378533</v>
      </c>
      <c r="N43" s="176" t="str">
        <f>IF((L43&gt;M43),"UP","DOWN")</f>
        <v>UP</v>
      </c>
    </row>
    <row r="44" spans="1:14" ht="11.25">
      <c r="A44" s="97"/>
      <c r="B44" s="127" t="s">
        <v>178</v>
      </c>
      <c r="C44" s="173">
        <f>'Company Info'!$A$71</f>
        <v>0.55</v>
      </c>
      <c r="D44" s="173">
        <f>'Company Info'!$A$72</f>
        <v>0.62</v>
      </c>
      <c r="E44" s="173">
        <f>'Company Info'!$A$73</f>
        <v>0.72</v>
      </c>
      <c r="F44" s="173">
        <f>'Company Info'!$A$74</f>
        <v>0.86</v>
      </c>
      <c r="G44" s="173">
        <f>'Company Info'!$A$75</f>
        <v>0.97</v>
      </c>
      <c r="H44" s="173">
        <f>'Company Info'!$A$76</f>
        <v>1.1</v>
      </c>
      <c r="I44" s="173">
        <f>'Company Info'!$A$77</f>
        <v>1.17</v>
      </c>
      <c r="J44" s="173">
        <f>'Company Info'!$A$78</f>
        <v>1.3</v>
      </c>
      <c r="K44" s="173">
        <f>'Company Info'!$A$79</f>
        <v>1.45</v>
      </c>
      <c r="L44" s="173">
        <f>'Company Info'!$A$80</f>
        <v>1.68</v>
      </c>
      <c r="M44" s="128"/>
      <c r="N44" s="129"/>
    </row>
    <row r="45" spans="1:14" ht="11.25">
      <c r="A45" s="97"/>
      <c r="B45" s="127" t="s">
        <v>12</v>
      </c>
      <c r="C45" s="173">
        <f>'Company Info'!$A$61</f>
        <v>2.91</v>
      </c>
      <c r="D45" s="173">
        <f>'Company Info'!$A$62</f>
        <v>3.3</v>
      </c>
      <c r="E45" s="173">
        <f>'Company Info'!$A$63</f>
        <v>3.86</v>
      </c>
      <c r="F45" s="173">
        <f>'Company Info'!$A$64</f>
        <v>4.54</v>
      </c>
      <c r="G45" s="173">
        <f>'Company Info'!$A$65</f>
        <v>4.9</v>
      </c>
      <c r="H45" s="173">
        <f>'Company Info'!$A$66</f>
        <v>5.82</v>
      </c>
      <c r="I45" s="173">
        <f>'Company Info'!$A$67</f>
        <v>6.74</v>
      </c>
      <c r="J45" s="173">
        <f>'Company Info'!$A$68</f>
        <v>8.1</v>
      </c>
      <c r="K45" s="173">
        <f>'Company Info'!$A$69</f>
        <v>8.87</v>
      </c>
      <c r="L45" s="173">
        <f>'Company Info'!$A$70</f>
        <v>9.93</v>
      </c>
      <c r="M45" s="128"/>
      <c r="N45" s="129"/>
    </row>
    <row r="46" spans="1:14" ht="12" thickBot="1">
      <c r="A46" s="97"/>
      <c r="B46" s="131" t="s">
        <v>194</v>
      </c>
      <c r="C46" s="174">
        <f aca="true" t="shared" si="1" ref="C46:L46">C44/C45</f>
        <v>0.18900343642611683</v>
      </c>
      <c r="D46" s="174">
        <f t="shared" si="1"/>
        <v>0.1878787878787879</v>
      </c>
      <c r="E46" s="174">
        <f t="shared" si="1"/>
        <v>0.18652849740932642</v>
      </c>
      <c r="F46" s="174">
        <f t="shared" si="1"/>
        <v>0.1894273127753304</v>
      </c>
      <c r="G46" s="174">
        <f t="shared" si="1"/>
        <v>0.19795918367346937</v>
      </c>
      <c r="H46" s="174">
        <f t="shared" si="1"/>
        <v>0.18900343642611683</v>
      </c>
      <c r="I46" s="174">
        <f t="shared" si="1"/>
        <v>0.17359050445103855</v>
      </c>
      <c r="J46" s="174">
        <f t="shared" si="1"/>
        <v>0.16049382716049385</v>
      </c>
      <c r="K46" s="174">
        <f t="shared" si="1"/>
        <v>0.16347237880496054</v>
      </c>
      <c r="L46" s="174">
        <f t="shared" si="1"/>
        <v>0.1691842900302115</v>
      </c>
      <c r="M46" s="177">
        <f>AVERAGE(H46:L46)</f>
        <v>0.17114888737456427</v>
      </c>
      <c r="N46" s="178" t="str">
        <f>IF((L46&gt;M46),"UP","DOWN")</f>
        <v>DOWN</v>
      </c>
    </row>
    <row r="47" spans="1:14" ht="11.25">
      <c r="A47" s="97"/>
      <c r="B47" s="118"/>
      <c r="C47" s="99"/>
      <c r="D47" s="99"/>
      <c r="E47" s="99"/>
      <c r="F47" s="99"/>
      <c r="G47" s="99"/>
      <c r="H47" s="101"/>
      <c r="I47" s="101"/>
      <c r="J47" s="101"/>
      <c r="K47" s="101"/>
      <c r="L47" s="99"/>
      <c r="M47" s="122"/>
      <c r="N47" s="122"/>
    </row>
    <row r="48" spans="1:14" ht="11.25">
      <c r="A48" s="97"/>
      <c r="B48" s="118"/>
      <c r="C48" s="99"/>
      <c r="D48" s="99"/>
      <c r="E48" s="99"/>
      <c r="F48" s="99"/>
      <c r="G48" s="99"/>
      <c r="H48" s="101"/>
      <c r="I48" s="101"/>
      <c r="J48" s="101"/>
      <c r="K48" s="101"/>
      <c r="L48" s="99"/>
      <c r="M48" s="122"/>
      <c r="N48" s="122"/>
    </row>
    <row r="49" spans="1:14" ht="12.75">
      <c r="A49" s="97"/>
      <c r="B49" s="100" t="s">
        <v>195</v>
      </c>
      <c r="N49" s="98"/>
    </row>
    <row r="50" spans="1:14" ht="11.25">
      <c r="A50" s="97"/>
      <c r="B50" s="132" t="s">
        <v>196</v>
      </c>
      <c r="F50" s="133"/>
      <c r="N50" s="98"/>
    </row>
    <row r="51" spans="1:14" ht="11.25">
      <c r="A51" s="97"/>
      <c r="B51" s="132"/>
      <c r="F51" s="133"/>
      <c r="N51" s="98"/>
    </row>
    <row r="52" spans="1:14" ht="12" thickBot="1">
      <c r="A52" s="97"/>
      <c r="B52" s="97"/>
      <c r="C52" s="134" t="s">
        <v>197</v>
      </c>
      <c r="D52" s="18">
        <f>'Company Info'!$A$91</f>
        <v>39.12</v>
      </c>
      <c r="F52" s="134" t="s">
        <v>198</v>
      </c>
      <c r="G52" s="18">
        <f>'Company Info'!$A$96</f>
        <v>39.25</v>
      </c>
      <c r="I52" s="134" t="s">
        <v>199</v>
      </c>
      <c r="J52" s="18">
        <f>'Company Info'!$A$97</f>
        <v>25.62</v>
      </c>
      <c r="N52" s="98"/>
    </row>
    <row r="53" spans="1:14" ht="12" thickBot="1">
      <c r="A53" s="97"/>
      <c r="B53" s="123" t="s">
        <v>200</v>
      </c>
      <c r="C53" s="136" t="s">
        <v>201</v>
      </c>
      <c r="D53" s="136" t="s">
        <v>202</v>
      </c>
      <c r="E53" s="136" t="s">
        <v>203</v>
      </c>
      <c r="F53" s="136" t="s">
        <v>204</v>
      </c>
      <c r="G53" s="136" t="s">
        <v>205</v>
      </c>
      <c r="H53" s="136" t="s">
        <v>206</v>
      </c>
      <c r="I53" s="136" t="s">
        <v>207</v>
      </c>
      <c r="J53" s="137" t="s">
        <v>208</v>
      </c>
      <c r="K53" s="138"/>
      <c r="L53" s="138"/>
      <c r="M53" s="138"/>
      <c r="N53" s="138"/>
    </row>
    <row r="54" spans="1:14" ht="11.25">
      <c r="A54" s="97"/>
      <c r="B54" s="139">
        <f>'Company Info'!$A$94-4</f>
        <v>1990</v>
      </c>
      <c r="C54" s="19">
        <f>'Company Info'!$A$6</f>
        <v>19.25</v>
      </c>
      <c r="D54" s="19">
        <f>'Company Info'!$A$16</f>
        <v>12.5</v>
      </c>
      <c r="E54" s="19">
        <f>'Company Info'!$A$76</f>
        <v>1.1</v>
      </c>
      <c r="F54" s="20">
        <f>C54/E54</f>
        <v>17.5</v>
      </c>
      <c r="G54" s="20">
        <f>D54/E54</f>
        <v>11.363636363636363</v>
      </c>
      <c r="H54" s="21">
        <f>'Company Info'!$A$86</f>
        <v>0.17</v>
      </c>
      <c r="I54" s="22">
        <f>H54/E54</f>
        <v>0.15454545454545454</v>
      </c>
      <c r="J54" s="23">
        <f>H54/D54</f>
        <v>0.013600000000000001</v>
      </c>
      <c r="N54" s="98"/>
    </row>
    <row r="55" spans="1:14" ht="11.25">
      <c r="A55" s="97"/>
      <c r="B55" s="139">
        <f>'Company Info'!$A$94-3</f>
        <v>1991</v>
      </c>
      <c r="C55" s="19">
        <f>'Company Info'!$A$7</f>
        <v>19.94</v>
      </c>
      <c r="D55" s="19">
        <f>'Company Info'!$A$17</f>
        <v>13.06</v>
      </c>
      <c r="E55" s="19">
        <f>'Company Info'!$A$77</f>
        <v>1.17</v>
      </c>
      <c r="F55" s="20">
        <f>C55/E55</f>
        <v>17.042735042735046</v>
      </c>
      <c r="G55" s="20">
        <f>D55/E55</f>
        <v>11.162393162393164</v>
      </c>
      <c r="H55" s="21">
        <f>'Company Info'!$A$87</f>
        <v>0.18</v>
      </c>
      <c r="I55" s="22">
        <f>H55/E55</f>
        <v>0.15384615384615385</v>
      </c>
      <c r="J55" s="23">
        <f>H55/D55</f>
        <v>0.013782542113323124</v>
      </c>
      <c r="N55" s="98"/>
    </row>
    <row r="56" spans="1:14" ht="11.25">
      <c r="A56" s="97"/>
      <c r="B56" s="139">
        <f>'Company Info'!$A$94-2</f>
        <v>1992</v>
      </c>
      <c r="C56" s="19">
        <f>'Company Info'!$A$8</f>
        <v>25.19</v>
      </c>
      <c r="D56" s="19">
        <f>'Company Info'!$A$18</f>
        <v>19.12</v>
      </c>
      <c r="E56" s="19">
        <f>'Company Info'!$A$78</f>
        <v>1.3</v>
      </c>
      <c r="F56" s="20">
        <f>C56/E56</f>
        <v>19.376923076923077</v>
      </c>
      <c r="G56" s="20">
        <f>D56/E56</f>
        <v>14.707692307692309</v>
      </c>
      <c r="H56" s="21">
        <f>'Company Info'!$A$88</f>
        <v>0.2</v>
      </c>
      <c r="I56" s="22">
        <f>H56/E56</f>
        <v>0.15384615384615385</v>
      </c>
      <c r="J56" s="23">
        <f>H56/D56</f>
        <v>0.010460251046025104</v>
      </c>
      <c r="N56" s="98"/>
    </row>
    <row r="57" spans="1:14" ht="11.25">
      <c r="A57" s="97"/>
      <c r="B57" s="139">
        <f>'Company Info'!$A$94-1</f>
        <v>1993</v>
      </c>
      <c r="C57" s="19">
        <f>'Company Info'!$A$9</f>
        <v>29.56</v>
      </c>
      <c r="D57" s="19">
        <f>'Company Info'!$A$19</f>
        <v>22.75</v>
      </c>
      <c r="E57" s="19">
        <f>'Company Info'!$A$79</f>
        <v>1.45</v>
      </c>
      <c r="F57" s="20">
        <f>C57/E57</f>
        <v>20.386206896551723</v>
      </c>
      <c r="G57" s="20">
        <f>D57/E57</f>
        <v>15.689655172413794</v>
      </c>
      <c r="H57" s="21">
        <f>'Company Info'!$A$89</f>
        <v>0.21</v>
      </c>
      <c r="I57" s="22">
        <f>H57/E57</f>
        <v>0.14482758620689656</v>
      </c>
      <c r="J57" s="23">
        <f>H57/D57</f>
        <v>0.00923076923076923</v>
      </c>
      <c r="N57" s="98"/>
    </row>
    <row r="58" spans="1:14" ht="12" thickBot="1">
      <c r="A58" s="97"/>
      <c r="B58" s="139">
        <f>'Company Info'!$A$94</f>
        <v>1994</v>
      </c>
      <c r="C58" s="19">
        <f>'Company Info'!$A$10</f>
        <v>31.37</v>
      </c>
      <c r="D58" s="19">
        <f>'Company Info'!$A$20</f>
        <v>25.62</v>
      </c>
      <c r="E58" s="19">
        <f>'Company Info'!$A$80</f>
        <v>1.68</v>
      </c>
      <c r="F58" s="20">
        <f>C58/E58</f>
        <v>18.672619047619047</v>
      </c>
      <c r="G58" s="20">
        <f>D58/E58</f>
        <v>15.250000000000002</v>
      </c>
      <c r="H58" s="21">
        <f>'Company Info'!$A$90</f>
        <v>0.23</v>
      </c>
      <c r="I58" s="22">
        <f>H58/E58</f>
        <v>0.13690476190476192</v>
      </c>
      <c r="J58" s="23">
        <f>H58/D58</f>
        <v>0.00897736143637783</v>
      </c>
      <c r="N58" s="98"/>
    </row>
    <row r="59" spans="1:14" ht="12" thickBot="1">
      <c r="A59" s="97"/>
      <c r="B59" s="123" t="s">
        <v>209</v>
      </c>
      <c r="C59" s="140"/>
      <c r="D59" s="24">
        <f>AVERAGE(D54:D58)</f>
        <v>18.610000000000003</v>
      </c>
      <c r="E59" s="141"/>
      <c r="F59" s="25">
        <f>AVERAGE(F54:F58)</f>
        <v>18.59569681276578</v>
      </c>
      <c r="G59" s="25">
        <f>AVERAGE(G54:G58)</f>
        <v>13.634675401227124</v>
      </c>
      <c r="H59" s="141"/>
      <c r="I59" s="26">
        <f>AVERAGE(I54:I58)</f>
        <v>0.14879402206988415</v>
      </c>
      <c r="J59" s="142"/>
      <c r="N59" s="98"/>
    </row>
    <row r="60" spans="1:14" ht="11.25">
      <c r="A60" s="97"/>
      <c r="C60" s="97"/>
      <c r="D60" s="134" t="s">
        <v>210</v>
      </c>
      <c r="E60" s="27">
        <f>AVERAGE(F59,G59)</f>
        <v>16.115186106996454</v>
      </c>
      <c r="G60" s="134" t="s">
        <v>211</v>
      </c>
      <c r="H60" s="28">
        <f>'Company Info'!$A$92</f>
        <v>22.49</v>
      </c>
      <c r="N60" s="98"/>
    </row>
    <row r="61" ht="11.25">
      <c r="A61" s="97"/>
    </row>
    <row r="62" spans="1:14" ht="12.75">
      <c r="A62" s="97"/>
      <c r="B62" s="100" t="s">
        <v>212</v>
      </c>
      <c r="N62" s="98"/>
    </row>
    <row r="63" spans="1:14" ht="11.25">
      <c r="A63" s="97"/>
      <c r="B63" s="143" t="s">
        <v>213</v>
      </c>
      <c r="N63" s="98"/>
    </row>
    <row r="64" spans="1:14" ht="11.25">
      <c r="A64" s="97"/>
      <c r="B64" s="132" t="s">
        <v>214</v>
      </c>
      <c r="F64" s="133"/>
      <c r="N64" s="98"/>
    </row>
    <row r="65" spans="1:14" ht="11.25">
      <c r="A65" s="97"/>
      <c r="B65" s="132"/>
      <c r="F65" s="133"/>
      <c r="N65" s="98"/>
    </row>
    <row r="66" spans="1:14" ht="12">
      <c r="A66" s="97"/>
      <c r="B66" s="144" t="s">
        <v>215</v>
      </c>
      <c r="C66" s="97"/>
      <c r="D66" s="145"/>
      <c r="F66" s="134"/>
      <c r="G66" s="97"/>
      <c r="I66" s="134"/>
      <c r="J66" s="135"/>
      <c r="N66" s="98"/>
    </row>
    <row r="67" spans="1:10" ht="11.25">
      <c r="A67" s="97"/>
      <c r="B67" s="146" t="s">
        <v>216</v>
      </c>
      <c r="C67" s="29">
        <f>IF(('Company Info'!$A$111)&lt;=0,F59,('Company Info'!$A$111))</f>
        <v>18.59569681276578</v>
      </c>
      <c r="D67" s="147" t="s">
        <v>217</v>
      </c>
      <c r="E67" s="97"/>
      <c r="F67" s="179">
        <f>IF(('Company Info'!$A$150)&lt;=0,'Company Info'!$A$109,('Company Info'!$A$150))</f>
        <v>3.265</v>
      </c>
      <c r="G67" s="148" t="s">
        <v>218</v>
      </c>
      <c r="I67" s="31">
        <f>IF(('Company Info'!$A$151)&lt;=0,(C67*F67),('Company Info'!$A$151))</f>
        <v>60.71495009368027</v>
      </c>
      <c r="J67" s="97"/>
    </row>
    <row r="68" spans="1:3" ht="11.25">
      <c r="A68" s="97"/>
      <c r="B68" s="149"/>
      <c r="C68" s="149"/>
    </row>
    <row r="69" spans="1:3" ht="12">
      <c r="A69" s="97"/>
      <c r="B69" s="144" t="s">
        <v>219</v>
      </c>
      <c r="C69" s="149"/>
    </row>
    <row r="70" spans="1:10" ht="11.25">
      <c r="A70" s="97"/>
      <c r="B70" s="150" t="s">
        <v>220</v>
      </c>
      <c r="C70" s="29">
        <f>IF(('Company Info'!$A$112)&lt;=0,G59,('Company Info'!$A$112))</f>
        <v>13.634675401227124</v>
      </c>
      <c r="D70" s="147" t="s">
        <v>221</v>
      </c>
      <c r="E70" s="97"/>
      <c r="F70" s="30">
        <f>IF(('Company Info'!$A$124)&lt;=0,'Company Info'!$A$80,('Company Info'!$A$124))</f>
        <v>1.68</v>
      </c>
      <c r="G70" s="148" t="s">
        <v>218</v>
      </c>
      <c r="I70" s="31">
        <f>C70*F70</f>
        <v>22.906254674061568</v>
      </c>
      <c r="J70" s="97"/>
    </row>
    <row r="71" spans="1:9" ht="11.25">
      <c r="A71" s="97"/>
      <c r="B71" s="150" t="s">
        <v>222</v>
      </c>
      <c r="C71" s="97"/>
      <c r="E71" s="32">
        <f>D59</f>
        <v>18.610000000000003</v>
      </c>
      <c r="G71" s="97"/>
      <c r="I71" s="97"/>
    </row>
    <row r="72" spans="1:5" ht="11.25">
      <c r="A72" s="97"/>
      <c r="B72" s="150" t="s">
        <v>223</v>
      </c>
      <c r="C72" s="97"/>
      <c r="E72" s="33">
        <f>IF(('Company Info'!$A$199)&lt;=0,SMALL(D56:D58,1),('Company Info'!$A$199))</f>
        <v>19.12</v>
      </c>
    </row>
    <row r="73" spans="1:5" ht="11.25">
      <c r="A73" s="97"/>
      <c r="B73" s="150" t="s">
        <v>224</v>
      </c>
      <c r="C73" s="97"/>
      <c r="E73" s="33">
        <f>IF(('Company Info'!$A$93)&lt;=0,(SUM('Company Info'!$A$222:$A$225)/(LARGE(J54:J58,1))),('Company Info'!$A$93)/(LARGE(J54:J58,1)))</f>
        <v>19.590000000000003</v>
      </c>
    </row>
    <row r="74" spans="1:3" ht="11.25">
      <c r="A74" s="97"/>
      <c r="B74" s="145"/>
      <c r="C74" s="152"/>
    </row>
    <row r="75" spans="1:9" ht="11.25">
      <c r="A75" s="97"/>
      <c r="B75" s="97"/>
      <c r="C75" s="150" t="s">
        <v>225</v>
      </c>
      <c r="I75" s="34">
        <f>IF(('Company Info'!$A$145)&lt;=0,I70,('Company Info'!$A$145))</f>
        <v>22.906254674061568</v>
      </c>
    </row>
    <row r="76" spans="1:3" ht="11.25">
      <c r="A76" s="97"/>
      <c r="B76" s="149"/>
      <c r="C76" s="153"/>
    </row>
    <row r="77" spans="1:3" ht="12">
      <c r="A77" s="97"/>
      <c r="B77" s="144" t="s">
        <v>226</v>
      </c>
      <c r="C77" s="97"/>
    </row>
    <row r="78" spans="1:5" ht="11.25">
      <c r="A78" s="97"/>
      <c r="B78" s="146" t="s">
        <v>227</v>
      </c>
      <c r="C78" s="35">
        <f>I75</f>
        <v>22.906254674061568</v>
      </c>
      <c r="D78" s="154" t="s">
        <v>228</v>
      </c>
      <c r="E78" s="35">
        <f>ROUND(($I$67-$I$75)/3+C78,1)</f>
        <v>35.5</v>
      </c>
    </row>
    <row r="79" spans="1:5" ht="11.25">
      <c r="A79" s="97"/>
      <c r="B79" s="146" t="s">
        <v>229</v>
      </c>
      <c r="C79" s="36">
        <f>E78</f>
        <v>35.5</v>
      </c>
      <c r="D79" s="154" t="s">
        <v>228</v>
      </c>
      <c r="E79" s="35">
        <f>ROUND(($I$67-$I$75)/3+C79,1)</f>
        <v>48.1</v>
      </c>
    </row>
    <row r="80" spans="1:5" ht="11.25">
      <c r="A80" s="97"/>
      <c r="B80" s="146" t="s">
        <v>230</v>
      </c>
      <c r="C80" s="35">
        <f>E79</f>
        <v>48.1</v>
      </c>
      <c r="D80" s="154" t="s">
        <v>228</v>
      </c>
      <c r="E80" s="34">
        <f>I67</f>
        <v>60.71495009368027</v>
      </c>
    </row>
    <row r="81" spans="1:5" ht="11.25">
      <c r="A81" s="97"/>
      <c r="B81" s="146" t="s">
        <v>231</v>
      </c>
      <c r="C81" s="37">
        <f>'Company Info'!$A$91</f>
        <v>39.12</v>
      </c>
      <c r="D81" s="155" t="str">
        <f>IF(C81&lt;=E78," is in the BUY zone",IF(C81&gt;C80,"is in the SELL zone","is in the HOLD zone"))</f>
        <v>is in the HOLD zone</v>
      </c>
      <c r="E81" s="149"/>
    </row>
    <row r="82" ht="11.25">
      <c r="A82" s="97"/>
    </row>
    <row r="83" spans="1:9" ht="12">
      <c r="A83" s="97"/>
      <c r="B83" s="144" t="s">
        <v>232</v>
      </c>
      <c r="H83" s="38">
        <f>IF(('Company Info'!$A$133)&lt;=0,((I67-C81)/(C81-I75)),('Company Info'!$A$133))</f>
        <v>1.3318915315101874</v>
      </c>
      <c r="I83" s="156" t="s">
        <v>233</v>
      </c>
    </row>
    <row r="84" spans="1:6" ht="11.25">
      <c r="A84" s="97"/>
      <c r="B84" s="97"/>
      <c r="C84" s="157"/>
      <c r="D84" s="148"/>
      <c r="F84" s="151"/>
    </row>
    <row r="85" spans="1:9" ht="12">
      <c r="A85" s="97"/>
      <c r="B85" s="144" t="s">
        <v>234</v>
      </c>
      <c r="H85" s="39">
        <f>(((I67/C81)*100)-100)/100</f>
        <v>0.5520181516789439</v>
      </c>
      <c r="I85" s="158"/>
    </row>
    <row r="86" spans="1:6" ht="11.25">
      <c r="A86" s="97"/>
      <c r="B86" s="97"/>
      <c r="C86" s="157"/>
      <c r="D86" s="148"/>
      <c r="F86" s="151"/>
    </row>
    <row r="87" spans="1:2" ht="12.75">
      <c r="A87" s="97"/>
      <c r="B87" s="100" t="s">
        <v>235</v>
      </c>
    </row>
    <row r="88" spans="1:2" ht="11.25">
      <c r="A88" s="97"/>
      <c r="B88" s="132" t="s">
        <v>236</v>
      </c>
    </row>
    <row r="89" ht="11.25">
      <c r="A89" s="97"/>
    </row>
    <row r="90" spans="1:3" ht="11.25">
      <c r="A90" s="97"/>
      <c r="B90" s="146" t="s">
        <v>237</v>
      </c>
      <c r="C90" s="40">
        <f>IF(('Company Info'!$A$129)&lt;=0,(SUM('Company Info'!$A$222:$A$225)/C81),(('Company Info'!$A$129)/100))</f>
        <v>0.006134969325153374</v>
      </c>
    </row>
    <row r="91" spans="1:3" ht="11.25">
      <c r="A91" s="97"/>
      <c r="B91" s="146" t="s">
        <v>238</v>
      </c>
      <c r="C91" s="41" t="str">
        <f>IF(('Company Info'!$A$130&lt;=0)," n/a ",'Company Info'!$A$130/100)</f>
        <v> n/a </v>
      </c>
    </row>
    <row r="92" spans="1:3" ht="11.25">
      <c r="A92" s="97"/>
      <c r="B92" s="146" t="s">
        <v>239</v>
      </c>
      <c r="C92" s="41" t="str">
        <f>IF(('Company Info'!$A$197&lt;=0)," n/a ",'Company Info'!$A$197)</f>
        <v> n/a </v>
      </c>
    </row>
    <row r="93" ht="11.25">
      <c r="A93" s="97"/>
    </row>
    <row r="94" spans="1:3" ht="11.25">
      <c r="A94" s="97"/>
      <c r="B94" s="159" t="s">
        <v>240</v>
      </c>
      <c r="C94" s="42">
        <f>H60/E60</f>
        <v>1.3955780498393313</v>
      </c>
    </row>
    <row r="95" ht="11.25">
      <c r="A95" s="97"/>
    </row>
    <row r="96" ht="11.25">
      <c r="A96" s="97"/>
    </row>
    <row r="97" ht="11.25">
      <c r="A97" s="97"/>
    </row>
    <row r="98" ht="11.25">
      <c r="A98" s="97"/>
    </row>
    <row r="99" ht="11.25">
      <c r="A99" s="97"/>
    </row>
    <row r="100" ht="11.25">
      <c r="A100" s="97"/>
    </row>
    <row r="101" ht="11.25">
      <c r="A101" s="97"/>
    </row>
    <row r="102" ht="11.25">
      <c r="A102" s="97"/>
    </row>
    <row r="103" ht="11.25">
      <c r="A103" s="97"/>
    </row>
    <row r="104" ht="11.25">
      <c r="A104" s="97"/>
    </row>
    <row r="105" ht="11.25">
      <c r="A105" s="97"/>
    </row>
    <row r="106" ht="11.25">
      <c r="A106" s="97"/>
    </row>
    <row r="107" ht="11.25">
      <c r="A107" s="97"/>
    </row>
    <row r="108" ht="11.25">
      <c r="A108" s="97"/>
    </row>
    <row r="109" ht="11.25">
      <c r="A109" s="97"/>
    </row>
    <row r="110" ht="11.25">
      <c r="A110" s="97"/>
    </row>
    <row r="111" ht="11.25">
      <c r="A111" s="97"/>
    </row>
    <row r="112" ht="11.25">
      <c r="A112" s="97"/>
    </row>
    <row r="113" ht="11.25">
      <c r="A113" s="97"/>
    </row>
    <row r="114" ht="11.25">
      <c r="A114" s="97"/>
    </row>
    <row r="115" ht="11.25">
      <c r="A115" s="97"/>
    </row>
    <row r="116" ht="11.25">
      <c r="A116" s="97"/>
    </row>
    <row r="117" ht="11.25">
      <c r="A117" s="97"/>
    </row>
    <row r="118" ht="11.25">
      <c r="A118" s="97"/>
    </row>
    <row r="119" ht="11.25">
      <c r="A119" s="97"/>
    </row>
    <row r="120" ht="11.25">
      <c r="A120" s="97"/>
    </row>
    <row r="121" ht="11.25">
      <c r="A121" s="97"/>
    </row>
    <row r="122" ht="11.25">
      <c r="A122" s="97"/>
    </row>
    <row r="123" ht="11.25">
      <c r="A123" s="97"/>
    </row>
    <row r="124" ht="11.25">
      <c r="A124" s="97"/>
    </row>
    <row r="125" ht="11.25">
      <c r="A125" s="97"/>
    </row>
    <row r="126" ht="11.25">
      <c r="A126" s="97"/>
    </row>
    <row r="127" ht="11.25">
      <c r="A127" s="97"/>
    </row>
    <row r="128" ht="11.25">
      <c r="A128" s="97"/>
    </row>
    <row r="129" ht="11.25">
      <c r="A129" s="97"/>
    </row>
    <row r="130" ht="11.25">
      <c r="A130" s="97"/>
    </row>
    <row r="131" ht="11.25">
      <c r="A131" s="97"/>
    </row>
    <row r="132" ht="11.25">
      <c r="A132" s="97"/>
    </row>
    <row r="133" ht="11.25">
      <c r="A133" s="97"/>
    </row>
    <row r="134" ht="11.25">
      <c r="A134" s="97"/>
    </row>
    <row r="135" ht="11.25">
      <c r="A135" s="97"/>
    </row>
    <row r="136" ht="11.25">
      <c r="A136" s="97"/>
    </row>
    <row r="137" ht="11.25">
      <c r="A137" s="97"/>
    </row>
    <row r="138" ht="11.25">
      <c r="A138" s="97"/>
    </row>
    <row r="139" ht="11.25">
      <c r="A139" s="97"/>
    </row>
    <row r="140" ht="11.25">
      <c r="A140" s="97"/>
    </row>
    <row r="141" ht="11.25">
      <c r="A141" s="97"/>
    </row>
    <row r="142" ht="11.25">
      <c r="A142" s="97"/>
    </row>
    <row r="143" ht="11.25">
      <c r="A143" s="97"/>
    </row>
    <row r="144" ht="11.25">
      <c r="A144" s="97"/>
    </row>
    <row r="145" ht="11.25">
      <c r="A145" s="97"/>
    </row>
    <row r="146" ht="11.25">
      <c r="A146" s="97"/>
    </row>
    <row r="147" ht="11.25">
      <c r="A147" s="97"/>
    </row>
    <row r="148" ht="11.25">
      <c r="A148" s="97"/>
    </row>
    <row r="149" ht="11.25">
      <c r="A149" s="97"/>
    </row>
    <row r="150" ht="11.25">
      <c r="A150" s="97"/>
    </row>
    <row r="151" ht="11.25">
      <c r="A151" s="97"/>
    </row>
    <row r="152" ht="11.25">
      <c r="A152" s="97"/>
    </row>
    <row r="153" ht="11.25">
      <c r="A153" s="97"/>
    </row>
    <row r="154" ht="11.25">
      <c r="A154" s="97"/>
    </row>
    <row r="155" ht="11.25">
      <c r="A155" s="97"/>
    </row>
    <row r="156" ht="11.25">
      <c r="A156" s="97"/>
    </row>
    <row r="157" ht="11.25">
      <c r="A157" s="97"/>
    </row>
    <row r="158" ht="11.25">
      <c r="A158" s="97"/>
    </row>
    <row r="159" ht="11.25">
      <c r="A159" s="97"/>
    </row>
    <row r="160" ht="11.25">
      <c r="A160" s="97"/>
    </row>
    <row r="161" ht="11.25">
      <c r="A161" s="97"/>
    </row>
    <row r="162" ht="11.25">
      <c r="A162" s="97"/>
    </row>
    <row r="163" ht="11.25">
      <c r="A163" s="97"/>
    </row>
    <row r="164" ht="11.25">
      <c r="A164" s="97"/>
    </row>
    <row r="165" ht="11.25">
      <c r="A165" s="97"/>
    </row>
    <row r="166" ht="11.25">
      <c r="A166" s="97"/>
    </row>
    <row r="167" ht="11.25">
      <c r="A167" s="97"/>
    </row>
    <row r="168" ht="11.25">
      <c r="A168" s="97"/>
    </row>
    <row r="169" ht="11.25">
      <c r="A169" s="97"/>
    </row>
    <row r="170" ht="11.25">
      <c r="A170" s="97"/>
    </row>
    <row r="171" ht="11.25">
      <c r="A171" s="97"/>
    </row>
    <row r="172" ht="11.25">
      <c r="A172" s="97"/>
    </row>
    <row r="173" ht="11.25">
      <c r="A173" s="97"/>
    </row>
    <row r="174" ht="11.25">
      <c r="A174" s="97"/>
    </row>
    <row r="175" ht="11.25">
      <c r="A175" s="97"/>
    </row>
    <row r="176" ht="11.25">
      <c r="A176" s="97"/>
    </row>
    <row r="177" ht="11.25">
      <c r="A177" s="97"/>
    </row>
    <row r="178" ht="11.25">
      <c r="A178" s="97"/>
    </row>
    <row r="179" ht="11.25">
      <c r="A179" s="97"/>
    </row>
    <row r="180" ht="11.25">
      <c r="A180" s="97"/>
    </row>
    <row r="181" ht="11.25">
      <c r="A181" s="97"/>
    </row>
    <row r="182" ht="11.25">
      <c r="A182" s="97"/>
    </row>
    <row r="183" ht="11.25">
      <c r="A183" s="97"/>
    </row>
    <row r="184" ht="11.25">
      <c r="A184" s="97"/>
    </row>
    <row r="185" ht="11.25">
      <c r="A185" s="97"/>
    </row>
    <row r="186" ht="11.25">
      <c r="A186" s="97"/>
    </row>
    <row r="187" ht="11.25">
      <c r="A187" s="97"/>
    </row>
    <row r="188" ht="11.25">
      <c r="A188" s="97"/>
    </row>
    <row r="189" ht="11.25">
      <c r="A189" s="97"/>
    </row>
    <row r="190" ht="11.25">
      <c r="A190" s="97"/>
    </row>
    <row r="191" ht="11.25">
      <c r="A191" s="97"/>
    </row>
    <row r="192" ht="11.25">
      <c r="A192" s="97"/>
    </row>
    <row r="193" ht="11.25">
      <c r="A193" s="97"/>
    </row>
    <row r="194" ht="11.25">
      <c r="A194" s="97"/>
    </row>
    <row r="195" ht="11.25">
      <c r="A195" s="97"/>
    </row>
    <row r="196" ht="11.25">
      <c r="A196" s="97"/>
    </row>
    <row r="197" ht="11.25">
      <c r="A197" s="97"/>
    </row>
    <row r="198" ht="11.25">
      <c r="A198" s="97"/>
    </row>
    <row r="199" ht="11.25">
      <c r="A199" s="97"/>
    </row>
    <row r="200" ht="11.25">
      <c r="A200" s="97"/>
    </row>
    <row r="201" ht="11.25">
      <c r="A201" s="97"/>
    </row>
    <row r="202" ht="11.25">
      <c r="A202" s="97"/>
    </row>
    <row r="203" ht="11.25">
      <c r="A203" s="97"/>
    </row>
    <row r="204" ht="11.25">
      <c r="A204" s="97"/>
    </row>
    <row r="205" ht="11.25">
      <c r="A205" s="97"/>
    </row>
    <row r="206" ht="11.25">
      <c r="A206" s="97"/>
    </row>
    <row r="207" ht="11.25">
      <c r="A207" s="97"/>
    </row>
    <row r="208" ht="11.25">
      <c r="A208" s="97"/>
    </row>
    <row r="209" ht="11.25">
      <c r="A209" s="97"/>
    </row>
    <row r="210" ht="11.25">
      <c r="A210" s="97"/>
    </row>
    <row r="211" ht="11.25">
      <c r="A211" s="97"/>
    </row>
    <row r="212" ht="11.25">
      <c r="A212" s="97"/>
    </row>
    <row r="213" ht="11.25">
      <c r="A213" s="97"/>
    </row>
    <row r="214" ht="11.25">
      <c r="A214" s="97"/>
    </row>
    <row r="215" ht="11.25">
      <c r="A215" s="97"/>
    </row>
    <row r="216" ht="11.25">
      <c r="A216" s="97"/>
    </row>
    <row r="217" ht="11.25">
      <c r="A217" s="97"/>
    </row>
    <row r="218" ht="11.25">
      <c r="A218" s="97"/>
    </row>
    <row r="219" ht="11.25">
      <c r="A219" s="97"/>
    </row>
    <row r="220" ht="11.25">
      <c r="A220" s="97"/>
    </row>
    <row r="221" ht="11.25">
      <c r="A221" s="97"/>
    </row>
    <row r="222" ht="11.25">
      <c r="A222" s="97"/>
    </row>
    <row r="223" ht="11.25">
      <c r="A223" s="97"/>
    </row>
    <row r="224" ht="11.25">
      <c r="A224" s="97"/>
    </row>
    <row r="225" ht="11.25">
      <c r="A225" s="97"/>
    </row>
    <row r="226" ht="11.25">
      <c r="A226" s="97"/>
    </row>
    <row r="227" ht="11.25">
      <c r="A227" s="97"/>
    </row>
    <row r="228" ht="11.25">
      <c r="A228" s="97"/>
    </row>
    <row r="229" ht="11.25">
      <c r="A229" s="97"/>
    </row>
    <row r="230" ht="11.25">
      <c r="A230" s="97"/>
    </row>
    <row r="231" ht="11.25">
      <c r="A231" s="97"/>
    </row>
    <row r="232" ht="11.25">
      <c r="A232" s="97"/>
    </row>
    <row r="233" ht="11.25">
      <c r="A233" s="97"/>
    </row>
    <row r="234" ht="11.25">
      <c r="A234" s="97"/>
    </row>
    <row r="235" ht="11.25">
      <c r="A235" s="97"/>
    </row>
    <row r="236" ht="11.25">
      <c r="A236" s="97"/>
    </row>
    <row r="237" ht="11.25">
      <c r="A237" s="97"/>
    </row>
    <row r="238" ht="11.25">
      <c r="A238" s="97"/>
    </row>
    <row r="239" ht="11.25">
      <c r="A239" s="97"/>
    </row>
    <row r="240" ht="11.25">
      <c r="A240" s="97"/>
    </row>
    <row r="241" ht="11.25">
      <c r="A241" s="97"/>
    </row>
    <row r="242" ht="11.25">
      <c r="A242" s="97"/>
    </row>
    <row r="243" ht="11.25">
      <c r="A243" s="97"/>
    </row>
    <row r="244" ht="11.25">
      <c r="A244" s="97"/>
    </row>
    <row r="245" ht="11.25">
      <c r="A245" s="160"/>
    </row>
    <row r="246" ht="11.25">
      <c r="A246" s="97"/>
    </row>
    <row r="247" ht="11.25">
      <c r="A247" s="97"/>
    </row>
    <row r="248" ht="11.25">
      <c r="A248" s="97"/>
    </row>
    <row r="249" ht="11.25">
      <c r="A249" s="97"/>
    </row>
    <row r="250" ht="11.25">
      <c r="A250" s="97"/>
    </row>
    <row r="251" ht="11.25">
      <c r="A251" s="97"/>
    </row>
    <row r="252" ht="11.25">
      <c r="A252" s="97"/>
    </row>
    <row r="253" ht="11.25">
      <c r="A253" s="97"/>
    </row>
    <row r="254" ht="11.25">
      <c r="A254" s="97"/>
    </row>
    <row r="255" ht="11.25">
      <c r="A255" s="97"/>
    </row>
    <row r="256" ht="11.25">
      <c r="A256" s="97"/>
    </row>
    <row r="257" ht="11.25">
      <c r="A257" s="97"/>
    </row>
    <row r="258" ht="11.25">
      <c r="A258" s="97"/>
    </row>
    <row r="259" ht="11.25">
      <c r="A259" s="97"/>
    </row>
    <row r="260" ht="11.25">
      <c r="A260" s="160"/>
    </row>
    <row r="261" ht="11.25">
      <c r="A261" s="97"/>
    </row>
    <row r="262" ht="11.25">
      <c r="A262" s="97"/>
    </row>
    <row r="263" ht="11.25">
      <c r="A263" s="97"/>
    </row>
    <row r="264" ht="11.25">
      <c r="A264" s="97"/>
    </row>
    <row r="265" ht="11.25">
      <c r="A265" s="97"/>
    </row>
    <row r="266" ht="11.25">
      <c r="A266" s="97"/>
    </row>
    <row r="267" ht="11.25">
      <c r="A267" s="97"/>
    </row>
    <row r="268" ht="11.25">
      <c r="A268" s="97"/>
    </row>
    <row r="269" ht="11.25">
      <c r="A269" s="97"/>
    </row>
    <row r="270" ht="11.25">
      <c r="A270" s="97"/>
    </row>
    <row r="271" ht="11.25">
      <c r="A271" s="97"/>
    </row>
    <row r="272" ht="11.25">
      <c r="A272" s="97"/>
    </row>
    <row r="273" ht="11.25">
      <c r="A273" s="97"/>
    </row>
    <row r="274" ht="11.25">
      <c r="A274" s="97"/>
    </row>
    <row r="275" ht="11.25">
      <c r="A275" s="97"/>
    </row>
    <row r="276" ht="11.25">
      <c r="A276" s="97"/>
    </row>
    <row r="277" ht="11.25">
      <c r="A277" s="97"/>
    </row>
    <row r="278" ht="11.25">
      <c r="A278" s="97"/>
    </row>
    <row r="279" ht="11.25">
      <c r="A279" s="97"/>
    </row>
    <row r="280" ht="11.25">
      <c r="A280" s="97"/>
    </row>
    <row r="281" ht="11.25">
      <c r="A281" s="97"/>
    </row>
    <row r="282" ht="11.25">
      <c r="A282" s="97"/>
    </row>
    <row r="283" ht="11.25">
      <c r="A283" s="97"/>
    </row>
    <row r="284" ht="11.25">
      <c r="A284" s="97"/>
    </row>
    <row r="285" ht="11.25">
      <c r="A285" s="97"/>
    </row>
    <row r="286" ht="11.25">
      <c r="A286" s="97"/>
    </row>
    <row r="287" ht="11.25">
      <c r="A287" s="97"/>
    </row>
    <row r="288" ht="11.25">
      <c r="A288" s="97"/>
    </row>
    <row r="289" ht="11.25">
      <c r="A289" s="97"/>
    </row>
    <row r="290" ht="11.25">
      <c r="A290" s="97"/>
    </row>
    <row r="291" ht="11.25">
      <c r="A291" s="97"/>
    </row>
    <row r="292" ht="11.25">
      <c r="A292" s="97"/>
    </row>
    <row r="293" ht="11.25">
      <c r="A293" s="97"/>
    </row>
    <row r="294" ht="11.25">
      <c r="A294" s="97"/>
    </row>
    <row r="295" ht="11.25">
      <c r="A295" s="97"/>
    </row>
    <row r="296" ht="11.25">
      <c r="A296" s="97"/>
    </row>
    <row r="297" ht="11.25">
      <c r="A297" s="97"/>
    </row>
    <row r="298" ht="11.25">
      <c r="A298" s="97"/>
    </row>
    <row r="299" ht="11.25">
      <c r="A299" s="97"/>
    </row>
    <row r="300" ht="11.25">
      <c r="A300" s="97"/>
    </row>
    <row r="301" ht="11.25">
      <c r="A301" s="97"/>
    </row>
    <row r="302" ht="11.25">
      <c r="A302" s="97"/>
    </row>
    <row r="303" ht="11.25">
      <c r="A303" s="97"/>
    </row>
    <row r="304" ht="11.25">
      <c r="A304" s="97"/>
    </row>
    <row r="305" ht="11.25">
      <c r="A305" s="97"/>
    </row>
  </sheetData>
  <printOptions horizontalCentered="1"/>
  <pageMargins left="0.5" right="0.5" top="1" bottom="1" header="0.5" footer="0.5"/>
  <pageSetup fitToHeight="2" fitToWidth="1" horizontalDpi="300" verticalDpi="300" orientation="portrait" scale="93" r:id="rId2"/>
  <rowBreaks count="2" manualBreakCount="2">
    <brk id="60" max="65535" man="1"/>
    <brk id="61" max="6553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workbookViewId="0" topLeftCell="A1">
      <selection activeCell="A1" sqref="A1:K106"/>
    </sheetView>
  </sheetViews>
  <sheetFormatPr defaultColWidth="9.00390625" defaultRowHeight="12.75"/>
  <cols>
    <col min="1" max="1" width="20.125" style="75" customWidth="1"/>
    <col min="2" max="2" width="9.875" style="74" customWidth="1"/>
    <col min="3" max="3" width="6.125" style="74" customWidth="1"/>
    <col min="4" max="4" width="7.375" style="74" customWidth="1"/>
    <col min="5" max="5" width="6.125" style="74" customWidth="1"/>
    <col min="6" max="6" width="8.00390625" style="74" customWidth="1"/>
    <col min="7" max="7" width="6.625" style="74" customWidth="1"/>
    <col min="8" max="8" width="7.375" style="74" customWidth="1"/>
    <col min="9" max="9" width="7.25390625" style="74" customWidth="1"/>
    <col min="10" max="11" width="6.625" style="74" customWidth="1"/>
    <col min="12" max="12" width="5.625" style="74" customWidth="1"/>
    <col min="13" max="16384" width="9.00390625" style="44" customWidth="1"/>
  </cols>
  <sheetData>
    <row r="1" spans="1:12" ht="12">
      <c r="A1" s="43" t="s">
        <v>151</v>
      </c>
      <c r="B1" s="44"/>
      <c r="C1" s="44"/>
      <c r="D1" s="44"/>
      <c r="E1" s="44"/>
      <c r="F1" s="44"/>
      <c r="G1" s="45"/>
      <c r="H1" s="45"/>
      <c r="I1" s="45"/>
      <c r="J1" s="45"/>
      <c r="K1" s="44"/>
      <c r="L1" s="45"/>
    </row>
    <row r="2" spans="1:12" ht="12">
      <c r="A2" s="43" t="s">
        <v>241</v>
      </c>
      <c r="B2" s="46" t="str">
        <f>'Company Info'!$A$236</f>
        <v>MCDONALDS CORP</v>
      </c>
      <c r="C2" s="44"/>
      <c r="D2" s="44"/>
      <c r="E2" s="47"/>
      <c r="F2" s="44"/>
      <c r="G2" s="44"/>
      <c r="H2" s="44"/>
      <c r="I2" s="44"/>
      <c r="J2" s="44"/>
      <c r="K2" s="44"/>
      <c r="L2" s="44"/>
    </row>
    <row r="3" spans="1:12" ht="12">
      <c r="A3" s="43" t="s">
        <v>242</v>
      </c>
      <c r="B3" s="48">
        <f>'Company Info'!$A$240</f>
        <v>34880</v>
      </c>
      <c r="C3" s="44"/>
      <c r="D3" s="44"/>
      <c r="E3" s="47"/>
      <c r="F3" s="47"/>
      <c r="G3" s="47"/>
      <c r="H3" s="44"/>
      <c r="I3" s="44"/>
      <c r="J3" s="44"/>
      <c r="K3" s="44"/>
      <c r="L3" s="44"/>
    </row>
    <row r="4" spans="1:12" ht="12">
      <c r="A4" s="43" t="s">
        <v>243</v>
      </c>
      <c r="B4" s="46" t="str">
        <f>IF('Company Info'!$A$239="S","S&amp;P",IF('Company Info'!$A$239="V","Value Line","Other"))</f>
        <v>S&amp;P</v>
      </c>
      <c r="C4" s="44"/>
      <c r="D4" s="44"/>
      <c r="E4" s="47"/>
      <c r="F4" s="47"/>
      <c r="G4" s="47"/>
      <c r="H4" s="44"/>
      <c r="I4" s="44"/>
      <c r="J4" s="44"/>
      <c r="K4" s="44"/>
      <c r="L4" s="44"/>
    </row>
    <row r="5" spans="1:12" ht="12">
      <c r="A5" s="43" t="s">
        <v>244</v>
      </c>
      <c r="B5" s="46" t="str">
        <f>'Company Info'!$A$237</f>
        <v>MCD</v>
      </c>
      <c r="C5" s="44"/>
      <c r="D5" s="44"/>
      <c r="E5" s="47"/>
      <c r="F5" s="47"/>
      <c r="G5" s="47"/>
      <c r="H5" s="44"/>
      <c r="I5" s="44"/>
      <c r="J5" s="44"/>
      <c r="K5" s="44"/>
      <c r="L5" s="44"/>
    </row>
    <row r="6" spans="1:12" ht="12">
      <c r="A6" s="43" t="s">
        <v>245</v>
      </c>
      <c r="B6" s="46" t="str">
        <f>'Company Info'!$A$238</f>
        <v>NYSE</v>
      </c>
      <c r="C6" s="44"/>
      <c r="D6" s="44"/>
      <c r="E6" s="47"/>
      <c r="F6" s="47"/>
      <c r="G6" s="47"/>
      <c r="H6" s="44"/>
      <c r="I6" s="44"/>
      <c r="J6" s="44"/>
      <c r="K6" s="44"/>
      <c r="L6" s="44"/>
    </row>
    <row r="7" spans="1:12" ht="12">
      <c r="A7" s="43" t="s">
        <v>246</v>
      </c>
      <c r="B7" s="48" t="str">
        <f>'Company Info'!$A$244</f>
        <v>EATING PLACES</v>
      </c>
      <c r="C7" s="44"/>
      <c r="D7" s="44"/>
      <c r="E7" s="47"/>
      <c r="F7" s="47"/>
      <c r="G7" s="47"/>
      <c r="H7" s="44"/>
      <c r="I7" s="44"/>
      <c r="J7" s="44"/>
      <c r="K7" s="44"/>
      <c r="L7" s="44"/>
    </row>
    <row r="8" spans="1:12" ht="12">
      <c r="A8" s="43" t="s">
        <v>247</v>
      </c>
      <c r="B8" s="49">
        <f>'Company Info'!$A$91</f>
        <v>39.12</v>
      </c>
      <c r="C8" s="44"/>
      <c r="D8" s="44"/>
      <c r="E8" s="47"/>
      <c r="F8" s="47"/>
      <c r="G8" s="47"/>
      <c r="H8" s="44"/>
      <c r="I8" s="44"/>
      <c r="J8" s="44"/>
      <c r="K8" s="44"/>
      <c r="L8" s="44"/>
    </row>
    <row r="9" spans="1:12" ht="12">
      <c r="A9" s="43" t="s">
        <v>248</v>
      </c>
      <c r="B9" s="50">
        <f>'Company Info'!$A$92</f>
        <v>22.49</v>
      </c>
      <c r="C9" s="44"/>
      <c r="D9" s="44"/>
      <c r="E9" s="47"/>
      <c r="F9" s="47"/>
      <c r="G9" s="47"/>
      <c r="H9" s="44"/>
      <c r="I9" s="44"/>
      <c r="J9" s="44"/>
      <c r="K9" s="44"/>
      <c r="L9" s="44"/>
    </row>
    <row r="10" spans="1:12" ht="12">
      <c r="A10" s="43" t="s">
        <v>249</v>
      </c>
      <c r="B10" s="51">
        <f>'Company Info'!$A$93</f>
        <v>0.27</v>
      </c>
      <c r="C10" s="44"/>
      <c r="D10" s="44"/>
      <c r="E10" s="47"/>
      <c r="F10" s="47"/>
      <c r="G10" s="47"/>
      <c r="H10" s="44"/>
      <c r="I10" s="44"/>
      <c r="J10" s="44"/>
      <c r="K10" s="44"/>
      <c r="L10" s="44"/>
    </row>
    <row r="11" spans="1:12" ht="1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">
      <c r="A12" s="43" t="s">
        <v>153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">
      <c r="A13" s="43" t="s">
        <v>250</v>
      </c>
      <c r="B13" s="52">
        <f>'Company Info'!$A$98</f>
        <v>694.8</v>
      </c>
      <c r="C13" s="47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">
      <c r="A14" s="43" t="s">
        <v>251</v>
      </c>
      <c r="B14" s="53" t="str">
        <f>IF('Company Info'!$A$99&gt;=0,"n/a",('Company Info'!$A$99*1000000))</f>
        <v>n/a</v>
      </c>
      <c r="C14" s="47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">
      <c r="A15" s="43" t="s">
        <v>252</v>
      </c>
      <c r="B15" s="53" t="str">
        <f>IF('Company Info'!$A$100&gt;=0,"n/a",('Company Info'!$A$100*1000000))</f>
        <v>n/a</v>
      </c>
      <c r="C15" s="47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2">
      <c r="A16" s="43" t="s">
        <v>253</v>
      </c>
      <c r="B16" s="53" t="str">
        <f>IF('Company Info'!$A$101&gt;=0,"n/a",('Company Info'!$A$101*1000000))</f>
        <v>n/a</v>
      </c>
      <c r="C16" s="47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2">
      <c r="A17" s="43" t="s">
        <v>254</v>
      </c>
      <c r="B17" s="54">
        <f>'Company Info'!$A$231</f>
        <v>3986.4</v>
      </c>
      <c r="C17" s="47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2">
      <c r="A18" s="43" t="s">
        <v>255</v>
      </c>
      <c r="B18" s="54">
        <f>'Company Info'!$A$102</f>
        <v>4486.2</v>
      </c>
      <c r="C18" s="47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2">
      <c r="A19" s="43" t="s">
        <v>256</v>
      </c>
      <c r="B19" s="53">
        <f>'Company Info'!A103</f>
        <v>20.5</v>
      </c>
      <c r="C19" s="47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">
      <c r="A21" s="43" t="s">
        <v>257</v>
      </c>
      <c r="B21" s="44"/>
      <c r="C21" s="44"/>
      <c r="D21" s="44"/>
      <c r="E21" s="44"/>
      <c r="F21" s="44"/>
      <c r="G21" s="45"/>
      <c r="H21" s="45"/>
      <c r="I21" s="45"/>
      <c r="J21" s="45"/>
      <c r="K21" s="44"/>
      <c r="L21" s="45"/>
    </row>
    <row r="22" spans="1:12" ht="12">
      <c r="A22" s="43" t="s">
        <v>258</v>
      </c>
      <c r="B22" s="48">
        <f>'Company Info'!$A$255</f>
        <v>34789</v>
      </c>
      <c r="C22" s="44"/>
      <c r="D22" s="55"/>
      <c r="E22" s="44"/>
      <c r="F22" s="44"/>
      <c r="G22" s="45"/>
      <c r="H22" s="45"/>
      <c r="I22" s="45"/>
      <c r="J22" s="45"/>
      <c r="K22" s="44"/>
      <c r="L22" s="45"/>
    </row>
    <row r="23" spans="1:12" ht="12">
      <c r="A23" s="43" t="s">
        <v>259</v>
      </c>
      <c r="B23" s="54">
        <f>'Company Info'!$A$104</f>
        <v>2161.3</v>
      </c>
      <c r="C23" s="55"/>
      <c r="D23" s="55"/>
      <c r="E23" s="44"/>
      <c r="F23" s="44"/>
      <c r="G23" s="45"/>
      <c r="H23" s="45"/>
      <c r="I23" s="45"/>
      <c r="J23" s="45"/>
      <c r="K23" s="44"/>
      <c r="L23" s="45"/>
    </row>
    <row r="24" spans="1:12" ht="12">
      <c r="A24" s="43" t="s">
        <v>260</v>
      </c>
      <c r="B24" s="54">
        <f>'Company Info'!$A$105</f>
        <v>1796</v>
      </c>
      <c r="C24" s="55"/>
      <c r="D24" s="55"/>
      <c r="E24" s="44"/>
      <c r="F24" s="44"/>
      <c r="G24" s="45"/>
      <c r="H24" s="45"/>
      <c r="I24" s="45"/>
      <c r="J24" s="45"/>
      <c r="K24" s="44"/>
      <c r="L24" s="45"/>
    </row>
    <row r="25" spans="1:12" ht="12">
      <c r="A25" s="43" t="s">
        <v>261</v>
      </c>
      <c r="B25" s="56">
        <f>(B23-B24)/B24</f>
        <v>0.20339643652561257</v>
      </c>
      <c r="C25" s="55"/>
      <c r="D25" s="55"/>
      <c r="E25" s="44"/>
      <c r="F25" s="44"/>
      <c r="G25" s="45"/>
      <c r="H25" s="45"/>
      <c r="I25" s="45"/>
      <c r="J25" s="45"/>
      <c r="K25" s="44"/>
      <c r="L25" s="45"/>
    </row>
    <row r="26" spans="1:12" ht="12">
      <c r="A26" s="43"/>
      <c r="B26" s="56"/>
      <c r="C26" s="55"/>
      <c r="D26" s="56"/>
      <c r="E26" s="44"/>
      <c r="F26" s="44"/>
      <c r="G26" s="45"/>
      <c r="H26" s="45"/>
      <c r="I26" s="45"/>
      <c r="J26" s="45"/>
      <c r="K26" s="44"/>
      <c r="L26" s="45"/>
    </row>
    <row r="27" spans="1:12" ht="12">
      <c r="A27" s="43" t="s">
        <v>262</v>
      </c>
      <c r="B27" s="57">
        <f>'Company Info'!$A$106</f>
        <v>0.39</v>
      </c>
      <c r="C27" s="55"/>
      <c r="D27" s="56"/>
      <c r="E27" s="44"/>
      <c r="F27" s="44"/>
      <c r="G27" s="45"/>
      <c r="H27" s="45"/>
      <c r="I27" s="45"/>
      <c r="J27" s="45"/>
      <c r="K27" s="44"/>
      <c r="L27" s="45"/>
    </row>
    <row r="28" spans="1:12" ht="12">
      <c r="A28" s="43" t="s">
        <v>263</v>
      </c>
      <c r="B28" s="57">
        <f>'Company Info'!$A$107</f>
        <v>0.33</v>
      </c>
      <c r="C28" s="55"/>
      <c r="D28" s="56"/>
      <c r="E28" s="44"/>
      <c r="F28" s="44"/>
      <c r="G28" s="45"/>
      <c r="H28" s="45"/>
      <c r="I28" s="45"/>
      <c r="J28" s="45"/>
      <c r="K28" s="44"/>
      <c r="L28" s="45"/>
    </row>
    <row r="29" spans="1:12" ht="12">
      <c r="A29" s="43" t="s">
        <v>264</v>
      </c>
      <c r="B29" s="56">
        <f>(B27-B28)/B28</f>
        <v>0.1818181818181818</v>
      </c>
      <c r="C29" s="56"/>
      <c r="D29" s="44"/>
      <c r="E29" s="44"/>
      <c r="F29" s="44"/>
      <c r="G29" s="45"/>
      <c r="H29" s="45"/>
      <c r="I29" s="45"/>
      <c r="J29" s="45"/>
      <c r="K29" s="44"/>
      <c r="L29" s="45"/>
    </row>
    <row r="30" spans="1:12" ht="12">
      <c r="A30" s="43"/>
      <c r="B30" s="44"/>
      <c r="C30" s="44"/>
      <c r="D30" s="44"/>
      <c r="E30" s="44"/>
      <c r="F30" s="44"/>
      <c r="G30" s="45"/>
      <c r="H30" s="45"/>
      <c r="I30" s="45"/>
      <c r="J30" s="45"/>
      <c r="K30" s="44"/>
      <c r="L30" s="45"/>
    </row>
    <row r="31" spans="1:12" ht="12">
      <c r="A31" s="43" t="s">
        <v>177</v>
      </c>
      <c r="B31" s="44"/>
      <c r="C31" s="44"/>
      <c r="D31" s="44"/>
      <c r="E31" s="44"/>
      <c r="F31" s="44"/>
      <c r="G31" s="45"/>
      <c r="H31" s="45"/>
      <c r="I31" s="45"/>
      <c r="J31" s="45"/>
      <c r="K31" s="44"/>
      <c r="L31" s="45"/>
    </row>
    <row r="32" spans="1:12" ht="12">
      <c r="A32" s="43"/>
      <c r="B32" s="44"/>
      <c r="C32" s="44"/>
      <c r="D32" s="44"/>
      <c r="E32" s="44"/>
      <c r="F32" s="44"/>
      <c r="G32" s="45"/>
      <c r="H32" s="45"/>
      <c r="I32" s="45"/>
      <c r="J32" s="45"/>
      <c r="K32" s="44"/>
      <c r="L32" s="45"/>
    </row>
    <row r="33" spans="1:12" ht="12">
      <c r="A33" s="43" t="s">
        <v>265</v>
      </c>
      <c r="B33" s="44">
        <f>'Company Info'!$A$94-9</f>
        <v>1985</v>
      </c>
      <c r="C33" s="44">
        <f>'Company Info'!$A$94-8</f>
        <v>1986</v>
      </c>
      <c r="D33" s="44">
        <f>'Company Info'!$A$94-7</f>
        <v>1987</v>
      </c>
      <c r="E33" s="44">
        <f>'Company Info'!$A$94-6</f>
        <v>1988</v>
      </c>
      <c r="F33" s="44">
        <f>'Company Info'!$A$94-5</f>
        <v>1989</v>
      </c>
      <c r="G33" s="44">
        <f>'Company Info'!$A$94-4</f>
        <v>1990</v>
      </c>
      <c r="H33" s="44">
        <f>'Company Info'!$A$94-3</f>
        <v>1991</v>
      </c>
      <c r="I33" s="44">
        <f>'Company Info'!$A$94-2</f>
        <v>1992</v>
      </c>
      <c r="J33" s="44">
        <f>'Company Info'!$A$94-1</f>
        <v>1993</v>
      </c>
      <c r="K33" s="44">
        <f>'Company Info'!$A$94</f>
        <v>1994</v>
      </c>
      <c r="L33" s="44"/>
    </row>
    <row r="34" spans="1:12" ht="12">
      <c r="A34" s="43" t="s">
        <v>266</v>
      </c>
      <c r="B34" s="58">
        <f>'Company Info'!$A$21</f>
        <v>3694.75</v>
      </c>
      <c r="C34" s="58">
        <f>'Company Info'!$A$22</f>
        <v>4143.5</v>
      </c>
      <c r="D34" s="58">
        <f>'Company Info'!$A$23</f>
        <v>4853.21</v>
      </c>
      <c r="E34" s="58">
        <f>'Company Info'!$A$24</f>
        <v>5520.76</v>
      </c>
      <c r="F34" s="58">
        <f>'Company Info'!$A$25</f>
        <v>6065</v>
      </c>
      <c r="G34" s="58">
        <f>'Company Info'!$A$26</f>
        <v>6639.6</v>
      </c>
      <c r="H34" s="58">
        <f>'Company Info'!$A$27</f>
        <v>6695</v>
      </c>
      <c r="I34" s="58">
        <f>'Company Info'!$A$28</f>
        <v>7133.3</v>
      </c>
      <c r="J34" s="58">
        <f>'Company Info'!$A$29</f>
        <v>7408.1</v>
      </c>
      <c r="K34" s="58">
        <f>'Company Info'!$A$30</f>
        <v>8320.8</v>
      </c>
      <c r="L34" s="58"/>
    </row>
    <row r="35" spans="1:12" ht="12">
      <c r="A35" s="43" t="s">
        <v>267</v>
      </c>
      <c r="B35" s="45">
        <f>'Company Info'!$A$71</f>
        <v>0.55</v>
      </c>
      <c r="C35" s="45">
        <f>'Company Info'!$A$72</f>
        <v>0.62</v>
      </c>
      <c r="D35" s="45">
        <f>'Company Info'!$A$73</f>
        <v>0.72</v>
      </c>
      <c r="E35" s="45">
        <f>'Company Info'!$A$74</f>
        <v>0.86</v>
      </c>
      <c r="F35" s="45">
        <f>'Company Info'!$A$75</f>
        <v>0.97</v>
      </c>
      <c r="G35" s="45">
        <f>'Company Info'!$A$76</f>
        <v>1.1</v>
      </c>
      <c r="H35" s="45">
        <f>'Company Info'!$A$77</f>
        <v>1.17</v>
      </c>
      <c r="I35" s="45">
        <f>'Company Info'!$A$78</f>
        <v>1.3</v>
      </c>
      <c r="J35" s="45">
        <f>'Company Info'!$A$79</f>
        <v>1.45</v>
      </c>
      <c r="K35" s="45">
        <f>'Company Info'!$A$80</f>
        <v>1.68</v>
      </c>
      <c r="L35" s="45"/>
    </row>
    <row r="36" spans="1:12" ht="12">
      <c r="A36" s="43" t="s">
        <v>268</v>
      </c>
      <c r="B36" s="58">
        <f>'Company Info'!$A$41</f>
        <v>782.24</v>
      </c>
      <c r="C36" s="58">
        <f>'Company Info'!$A$42</f>
        <v>848.12</v>
      </c>
      <c r="D36" s="58">
        <f>'Company Info'!$A$43</f>
        <v>958.76</v>
      </c>
      <c r="E36" s="58">
        <f>'Company Info'!$A$44</f>
        <v>1046.46</v>
      </c>
      <c r="F36" s="58">
        <f>'Company Info'!$A$45</f>
        <v>1157</v>
      </c>
      <c r="G36" s="58">
        <f>'Company Info'!$A$46</f>
        <v>1246.3</v>
      </c>
      <c r="H36" s="58">
        <f>'Company Info'!$A$47</f>
        <v>1299.4</v>
      </c>
      <c r="I36" s="58">
        <f>'Company Info'!$A$48</f>
        <v>1448.1</v>
      </c>
      <c r="J36" s="58">
        <f>'Company Info'!$A$49</f>
        <v>1675.7</v>
      </c>
      <c r="K36" s="58">
        <f>'Company Info'!$A$50</f>
        <v>1886.6</v>
      </c>
      <c r="L36" s="58"/>
    </row>
    <row r="37" spans="1:12" ht="12">
      <c r="A37" s="43" t="s">
        <v>269</v>
      </c>
      <c r="B37" s="45">
        <f>'Company Info'!$A$1</f>
        <v>9.08</v>
      </c>
      <c r="C37" s="45">
        <f>'Company Info'!$A$2</f>
        <v>12.79</v>
      </c>
      <c r="D37" s="45">
        <f>'Company Info'!$A$3</f>
        <v>15.28</v>
      </c>
      <c r="E37" s="45">
        <f>'Company Info'!$A$4</f>
        <v>12.75</v>
      </c>
      <c r="F37" s="45">
        <f>'Company Info'!$A$5</f>
        <v>17.44</v>
      </c>
      <c r="G37" s="45">
        <f>'Company Info'!$A$6</f>
        <v>19.25</v>
      </c>
      <c r="H37" s="45">
        <f>'Company Info'!$A$7</f>
        <v>19.94</v>
      </c>
      <c r="I37" s="45">
        <f>'Company Info'!$A$8</f>
        <v>25.19</v>
      </c>
      <c r="J37" s="45">
        <f>'Company Info'!$A$9</f>
        <v>29.56</v>
      </c>
      <c r="K37" s="45">
        <f>'Company Info'!$A$10</f>
        <v>31.37</v>
      </c>
      <c r="L37" s="45"/>
    </row>
    <row r="38" spans="1:12" ht="12">
      <c r="A38" s="43" t="s">
        <v>270</v>
      </c>
      <c r="B38" s="45">
        <f>'Company Info'!$A$11</f>
        <v>5.68</v>
      </c>
      <c r="C38" s="45">
        <f>'Company Info'!$A$12</f>
        <v>8.11</v>
      </c>
      <c r="D38" s="45">
        <f>'Company Info'!$A$13</f>
        <v>7.84</v>
      </c>
      <c r="E38" s="45">
        <f>'Company Info'!$A$14</f>
        <v>10.19</v>
      </c>
      <c r="F38" s="45">
        <f>'Company Info'!$A$15</f>
        <v>11.5</v>
      </c>
      <c r="G38" s="45">
        <f>'Company Info'!$A$16</f>
        <v>12.5</v>
      </c>
      <c r="H38" s="45">
        <f>'Company Info'!$A$17</f>
        <v>13.06</v>
      </c>
      <c r="I38" s="45">
        <f>'Company Info'!$A$18</f>
        <v>19.12</v>
      </c>
      <c r="J38" s="45">
        <f>'Company Info'!$A$19</f>
        <v>22.75</v>
      </c>
      <c r="K38" s="45">
        <f>'Company Info'!$A$20</f>
        <v>25.62</v>
      </c>
      <c r="L38" s="45"/>
    </row>
    <row r="39" spans="1:12" ht="12">
      <c r="A39" s="43"/>
      <c r="B39" s="44"/>
      <c r="C39" s="44"/>
      <c r="D39" s="44"/>
      <c r="E39" s="44"/>
      <c r="F39" s="44"/>
      <c r="G39" s="45"/>
      <c r="H39" s="45"/>
      <c r="I39" s="45"/>
      <c r="J39" s="45"/>
      <c r="K39" s="44"/>
      <c r="L39" s="45"/>
    </row>
    <row r="40" spans="1:12" ht="12">
      <c r="A40" s="43" t="s">
        <v>271</v>
      </c>
      <c r="B40" s="59">
        <f>LOGEST(B34:K34)-1</f>
        <v>0.08834474490621513</v>
      </c>
      <c r="C40" s="44"/>
      <c r="D40" s="55"/>
      <c r="E40" s="55"/>
      <c r="F40" s="55"/>
      <c r="G40" s="55"/>
      <c r="H40" s="44"/>
      <c r="I40" s="55"/>
      <c r="J40" s="55"/>
      <c r="K40" s="55"/>
      <c r="L40" s="55"/>
    </row>
    <row r="41" spans="1:12" ht="12">
      <c r="A41" s="43" t="s">
        <v>272</v>
      </c>
      <c r="B41" s="59">
        <f>LOGEST(G34:K34)-1</f>
        <v>0.056818139225553344</v>
      </c>
      <c r="C41" s="44"/>
      <c r="D41" s="55"/>
      <c r="E41" s="55"/>
      <c r="F41" s="55"/>
      <c r="G41" s="55"/>
      <c r="H41" s="44"/>
      <c r="I41" s="55"/>
      <c r="J41" s="55"/>
      <c r="K41" s="55"/>
      <c r="L41" s="55"/>
    </row>
    <row r="42" spans="1:12" ht="12">
      <c r="A42" s="43" t="s">
        <v>273</v>
      </c>
      <c r="B42" s="59" t="str">
        <f>IF(('Company Info'!$A$128)&lt;=0,"n/a",('Company Info'!$A$128))</f>
        <v>n/a</v>
      </c>
      <c r="C42" s="44"/>
      <c r="D42" s="55"/>
      <c r="E42" s="55"/>
      <c r="F42" s="55"/>
      <c r="G42" s="55"/>
      <c r="H42" s="44"/>
      <c r="I42" s="44"/>
      <c r="J42" s="44"/>
      <c r="K42" s="44"/>
      <c r="L42" s="59"/>
    </row>
    <row r="43" spans="1:12" ht="12">
      <c r="A43" s="43" t="s">
        <v>274</v>
      </c>
      <c r="B43" s="60" t="str">
        <f>IF(('Company Info'!$A$134)&lt;=0,"n/a",('Company Info'!$A$134))</f>
        <v>n/a</v>
      </c>
      <c r="C43" s="44"/>
      <c r="D43" s="55"/>
      <c r="E43" s="55"/>
      <c r="F43" s="55"/>
      <c r="G43" s="55"/>
      <c r="H43" s="44"/>
      <c r="I43" s="44"/>
      <c r="J43" s="44"/>
      <c r="K43" s="44"/>
      <c r="L43" s="59"/>
    </row>
    <row r="44" spans="1:12" ht="12">
      <c r="A44" s="43" t="s">
        <v>275</v>
      </c>
      <c r="B44" s="59">
        <f>LOGEST(B35:K35)-1</f>
        <v>0.1288675148797538</v>
      </c>
      <c r="C44" s="44"/>
      <c r="D44" s="55"/>
      <c r="E44" s="44"/>
      <c r="F44" s="44"/>
      <c r="G44" s="59"/>
      <c r="H44" s="44"/>
      <c r="I44" s="44"/>
      <c r="J44" s="44"/>
      <c r="K44" s="44"/>
      <c r="L44" s="59"/>
    </row>
    <row r="45" spans="1:12" ht="12">
      <c r="A45" s="43" t="s">
        <v>276</v>
      </c>
      <c r="B45" s="59">
        <f>LOGEST(G35:K35)-1</f>
        <v>0.11199166854474951</v>
      </c>
      <c r="C45" s="44"/>
      <c r="D45" s="55"/>
      <c r="E45" s="44"/>
      <c r="F45" s="44"/>
      <c r="G45" s="59"/>
      <c r="H45" s="44"/>
      <c r="I45" s="44"/>
      <c r="J45" s="44"/>
      <c r="K45" s="44"/>
      <c r="L45" s="59"/>
    </row>
    <row r="46" spans="1:12" ht="12">
      <c r="A46" s="43" t="s">
        <v>277</v>
      </c>
      <c r="B46" s="59" t="str">
        <f>IF(('Company Info'!$A$198)&lt;=0,"n/a",('Company Info'!$A$198))</f>
        <v>n/a</v>
      </c>
      <c r="C46" s="44"/>
      <c r="D46" s="55"/>
      <c r="E46" s="44"/>
      <c r="F46" s="44"/>
      <c r="G46" s="59"/>
      <c r="H46" s="44"/>
      <c r="I46" s="44"/>
      <c r="J46" s="44"/>
      <c r="K46" s="44"/>
      <c r="L46" s="59"/>
    </row>
    <row r="47" spans="1:12" ht="12">
      <c r="A47" s="43" t="s">
        <v>278</v>
      </c>
      <c r="B47" s="61" t="str">
        <f>IF(('Company Info'!$A$150)&lt;=0,"n/a",('Company Info'!$A$150))</f>
        <v>n/a</v>
      </c>
      <c r="C47" s="44"/>
      <c r="D47" s="55"/>
      <c r="E47" s="44"/>
      <c r="F47" s="44"/>
      <c r="G47" s="59"/>
      <c r="H47" s="44"/>
      <c r="I47" s="44"/>
      <c r="J47" s="44"/>
      <c r="K47" s="44"/>
      <c r="L47" s="59"/>
    </row>
    <row r="48" spans="1:12" ht="12">
      <c r="A48" s="43" t="s">
        <v>279</v>
      </c>
      <c r="B48" s="59">
        <f>'Company Info'!$A$229</f>
        <v>0.142</v>
      </c>
      <c r="C48" s="44"/>
      <c r="D48" s="55"/>
      <c r="E48" s="44"/>
      <c r="F48" s="44"/>
      <c r="G48" s="59"/>
      <c r="H48" s="44"/>
      <c r="I48" s="44"/>
      <c r="J48" s="44"/>
      <c r="K48" s="44"/>
      <c r="L48" s="59"/>
    </row>
    <row r="49" spans="1:12" ht="12">
      <c r="A49" s="43" t="s">
        <v>280</v>
      </c>
      <c r="B49" s="61">
        <f>IF(('Company Info'!$A$109)&lt;=0,"n/a",('Company Info'!$A$109))</f>
        <v>3.265</v>
      </c>
      <c r="C49" s="44"/>
      <c r="D49" s="55"/>
      <c r="E49" s="44"/>
      <c r="F49" s="44"/>
      <c r="G49" s="59"/>
      <c r="H49" s="44"/>
      <c r="I49" s="44"/>
      <c r="J49" s="44"/>
      <c r="K49" s="44"/>
      <c r="L49" s="59"/>
    </row>
    <row r="50" spans="1:12" ht="12">
      <c r="A50" s="43"/>
      <c r="B50" s="59"/>
      <c r="C50" s="44"/>
      <c r="D50" s="44"/>
      <c r="E50" s="44"/>
      <c r="F50" s="44"/>
      <c r="G50" s="59"/>
      <c r="H50" s="44"/>
      <c r="I50" s="44"/>
      <c r="J50" s="44"/>
      <c r="K50" s="44"/>
      <c r="L50" s="59"/>
    </row>
    <row r="51" spans="1:12" ht="12">
      <c r="A51" s="43" t="s">
        <v>190</v>
      </c>
      <c r="B51" s="44"/>
      <c r="C51" s="44"/>
      <c r="D51" s="44"/>
      <c r="E51" s="44"/>
      <c r="F51" s="44"/>
      <c r="G51" s="45"/>
      <c r="H51" s="45"/>
      <c r="I51" s="45"/>
      <c r="J51" s="45"/>
      <c r="K51" s="44"/>
      <c r="L51" s="44"/>
    </row>
    <row r="52" spans="1:14" ht="12">
      <c r="A52" s="43" t="s">
        <v>265</v>
      </c>
      <c r="B52" s="44">
        <f>'Company Info'!$A$94-9</f>
        <v>1985</v>
      </c>
      <c r="C52" s="44">
        <f>'Company Info'!$A$94-8</f>
        <v>1986</v>
      </c>
      <c r="D52" s="44">
        <f>'Company Info'!$A$94-7</f>
        <v>1987</v>
      </c>
      <c r="E52" s="44">
        <f>'Company Info'!$A$94-6</f>
        <v>1988</v>
      </c>
      <c r="F52" s="44">
        <f>'Company Info'!$A$94-5</f>
        <v>1989</v>
      </c>
      <c r="G52" s="44">
        <f>'Company Info'!$A$94-4</f>
        <v>1990</v>
      </c>
      <c r="H52" s="44">
        <f>'Company Info'!$A$94-3</f>
        <v>1991</v>
      </c>
      <c r="I52" s="44">
        <f>'Company Info'!$A$94-2</f>
        <v>1992</v>
      </c>
      <c r="J52" s="44">
        <f>'Company Info'!$A$94-1</f>
        <v>1993</v>
      </c>
      <c r="K52" s="44">
        <f>'Company Info'!$A$94</f>
        <v>1994</v>
      </c>
      <c r="L52" s="62"/>
      <c r="M52" s="62"/>
      <c r="N52" s="62"/>
    </row>
    <row r="53" spans="1:14" ht="12">
      <c r="A53" s="43" t="s">
        <v>281</v>
      </c>
      <c r="B53" s="59">
        <f>'Company Info'!A41/'Company Info'!A21</f>
        <v>0.21171662494079438</v>
      </c>
      <c r="C53" s="59">
        <f>'Company Info'!A42/'Company Info'!A22</f>
        <v>0.2046868589356824</v>
      </c>
      <c r="D53" s="59">
        <f>'Company Info'!A43/'Company Info'!A23</f>
        <v>0.19755172349846803</v>
      </c>
      <c r="E53" s="59">
        <f>'Company Info'!A44/'Company Info'!A24</f>
        <v>0.18954998949420007</v>
      </c>
      <c r="F53" s="59">
        <f>'Company Info'!A45/'Company Info'!A25</f>
        <v>0.1907666941467436</v>
      </c>
      <c r="G53" s="59">
        <f>'Company Info'!A46/'Company Info'!A26</f>
        <v>0.1877070907886017</v>
      </c>
      <c r="H53" s="59">
        <f>'Company Info'!A47/'Company Info'!A27</f>
        <v>0.1940851381628081</v>
      </c>
      <c r="I53" s="59">
        <f>'Company Info'!A48/'Company Info'!A28</f>
        <v>0.20300562152159587</v>
      </c>
      <c r="J53" s="59">
        <f>'Company Info'!A49/'Company Info'!A29</f>
        <v>0.22619835045423253</v>
      </c>
      <c r="K53" s="59">
        <f>'Company Info'!A50/'Company Info'!A30</f>
        <v>0.2267330064416883</v>
      </c>
      <c r="L53" s="62"/>
      <c r="M53" s="62"/>
      <c r="N53" s="62"/>
    </row>
    <row r="54" spans="1:14" ht="12">
      <c r="A54" s="43" t="s">
        <v>282</v>
      </c>
      <c r="B54" s="59">
        <f>'Company Info'!$A$71/'Company Info'!$A$61</f>
        <v>0.18900343642611683</v>
      </c>
      <c r="C54" s="59">
        <f>'Company Info'!$A$72/'Company Info'!$A$62</f>
        <v>0.1878787878787879</v>
      </c>
      <c r="D54" s="59">
        <f>'Company Info'!$A$73/'Company Info'!$A$63</f>
        <v>0.18652849740932642</v>
      </c>
      <c r="E54" s="59">
        <f>'Company Info'!$A$74/'Company Info'!$A$64</f>
        <v>0.1894273127753304</v>
      </c>
      <c r="F54" s="59">
        <f>'Company Info'!$A$75/'Company Info'!$A$65</f>
        <v>0.19795918367346937</v>
      </c>
      <c r="G54" s="59">
        <f>'Company Info'!$A$76/'Company Info'!$A$66</f>
        <v>0.18900343642611683</v>
      </c>
      <c r="H54" s="59">
        <f>'Company Info'!$A$77/'Company Info'!$A$67</f>
        <v>0.17359050445103855</v>
      </c>
      <c r="I54" s="59">
        <f>'Company Info'!$A$78/'Company Info'!$A$68</f>
        <v>0.16049382716049385</v>
      </c>
      <c r="J54" s="59">
        <f>'Company Info'!$A$79/'Company Info'!$A$69</f>
        <v>0.16347237880496054</v>
      </c>
      <c r="K54" s="59">
        <f>'Company Info'!$A$80/'Company Info'!$A$70</f>
        <v>0.1691842900302115</v>
      </c>
      <c r="L54" s="62"/>
      <c r="M54" s="62"/>
      <c r="N54" s="62"/>
    </row>
    <row r="55" spans="1:12" ht="12">
      <c r="A55" s="62"/>
      <c r="B55" s="62"/>
      <c r="C55" s="44"/>
      <c r="D55" s="44"/>
      <c r="E55" s="44"/>
      <c r="F55" s="44"/>
      <c r="G55" s="45"/>
      <c r="H55" s="45"/>
      <c r="I55" s="45"/>
      <c r="J55" s="45"/>
      <c r="K55" s="44"/>
      <c r="L55" s="44"/>
    </row>
    <row r="56" spans="1:12" ht="12">
      <c r="A56" s="44" t="s">
        <v>283</v>
      </c>
      <c r="B56" s="63">
        <f>AVERAGE(G53:K53)</f>
        <v>0.20754584147378533</v>
      </c>
      <c r="C56" s="44" t="str">
        <f>IF((K53&gt;B56),"TREND UP","TREND DOWN")</f>
        <v>TREND UP</v>
      </c>
      <c r="D56" s="62"/>
      <c r="E56" s="44"/>
      <c r="F56" s="44"/>
      <c r="G56" s="45"/>
      <c r="H56" s="45"/>
      <c r="I56" s="45"/>
      <c r="J56" s="45"/>
      <c r="K56" s="44"/>
      <c r="L56" s="44"/>
    </row>
    <row r="57" spans="1:12" ht="12">
      <c r="A57" s="44" t="s">
        <v>284</v>
      </c>
      <c r="B57" s="63">
        <f>AVERAGE(G54:K54)</f>
        <v>0.17114888737456427</v>
      </c>
      <c r="C57" s="44" t="str">
        <f>IF((K54&gt;B57),"TREND UP","TREND DOWN")</f>
        <v>TREND DOWN</v>
      </c>
      <c r="D57" s="62"/>
      <c r="E57" s="44"/>
      <c r="F57" s="44"/>
      <c r="G57" s="45"/>
      <c r="H57" s="45"/>
      <c r="I57" s="45"/>
      <c r="J57" s="45"/>
      <c r="K57" s="44"/>
      <c r="L57" s="44"/>
    </row>
    <row r="58" spans="1:12" ht="12">
      <c r="A58" s="44"/>
      <c r="B58" s="63"/>
      <c r="C58" s="44"/>
      <c r="D58" s="44"/>
      <c r="E58" s="44"/>
      <c r="F58" s="44"/>
      <c r="G58" s="45"/>
      <c r="H58" s="45"/>
      <c r="I58" s="45"/>
      <c r="J58" s="45"/>
      <c r="K58" s="44"/>
      <c r="L58" s="44"/>
    </row>
    <row r="59" spans="1:12" ht="12">
      <c r="A59" s="43" t="s">
        <v>195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2">
      <c r="A60" s="64"/>
      <c r="B60" s="65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">
      <c r="A61" s="43" t="s">
        <v>285</v>
      </c>
      <c r="B61" s="44" t="s">
        <v>286</v>
      </c>
      <c r="C61" s="44" t="s">
        <v>287</v>
      </c>
      <c r="D61" s="44" t="s">
        <v>203</v>
      </c>
      <c r="E61" s="44" t="s">
        <v>288</v>
      </c>
      <c r="F61" s="44" t="s">
        <v>289</v>
      </c>
      <c r="G61" s="44" t="s">
        <v>206</v>
      </c>
      <c r="H61" s="44" t="s">
        <v>290</v>
      </c>
      <c r="I61" s="44" t="s">
        <v>291</v>
      </c>
      <c r="J61" s="44"/>
      <c r="K61" s="44"/>
      <c r="L61" s="44"/>
    </row>
    <row r="62" spans="1:12" ht="12">
      <c r="A62" s="64" t="str">
        <f>CONCATENATE('Company Info'!$A$94-4," ...................")</f>
        <v>1990 ...................</v>
      </c>
      <c r="B62" s="45">
        <f>'Company Info'!$A$6</f>
        <v>19.25</v>
      </c>
      <c r="C62" s="45">
        <f>'Company Info'!$A$16</f>
        <v>12.5</v>
      </c>
      <c r="D62" s="45">
        <f>'Company Info'!$A$76</f>
        <v>1.1</v>
      </c>
      <c r="E62" s="58">
        <f>B62/D62</f>
        <v>17.5</v>
      </c>
      <c r="F62" s="58">
        <f>C62/D62</f>
        <v>11.363636363636363</v>
      </c>
      <c r="G62" s="45">
        <f>'Company Info'!$A$86</f>
        <v>0.17</v>
      </c>
      <c r="H62" s="59">
        <f>G62/D62</f>
        <v>0.15454545454545454</v>
      </c>
      <c r="I62" s="59">
        <f>G62/C62</f>
        <v>0.013600000000000001</v>
      </c>
      <c r="J62" s="44"/>
      <c r="K62" s="44"/>
      <c r="L62" s="44"/>
    </row>
    <row r="63" spans="1:12" ht="12">
      <c r="A63" s="64" t="str">
        <f>CONCATENATE('Company Info'!$A$94-3," ...................")</f>
        <v>1991 ...................</v>
      </c>
      <c r="B63" s="45">
        <f>'Company Info'!$A$7</f>
        <v>19.94</v>
      </c>
      <c r="C63" s="45">
        <f>'Company Info'!$A$17</f>
        <v>13.06</v>
      </c>
      <c r="D63" s="45">
        <f>'Company Info'!$A$77</f>
        <v>1.17</v>
      </c>
      <c r="E63" s="58">
        <f>B63/D63</f>
        <v>17.042735042735046</v>
      </c>
      <c r="F63" s="58">
        <f>C63/D63</f>
        <v>11.162393162393164</v>
      </c>
      <c r="G63" s="45">
        <f>'Company Info'!$A$87</f>
        <v>0.18</v>
      </c>
      <c r="H63" s="59">
        <f>G63/D63</f>
        <v>0.15384615384615385</v>
      </c>
      <c r="I63" s="59">
        <f>G63/C63</f>
        <v>0.013782542113323124</v>
      </c>
      <c r="J63" s="44"/>
      <c r="K63" s="44"/>
      <c r="L63" s="44"/>
    </row>
    <row r="64" spans="1:12" ht="12">
      <c r="A64" s="64" t="str">
        <f>CONCATENATE('Company Info'!$A$94-2," ...................")</f>
        <v>1992 ...................</v>
      </c>
      <c r="B64" s="45">
        <f>'Company Info'!$A$8</f>
        <v>25.19</v>
      </c>
      <c r="C64" s="45">
        <f>'Company Info'!$A$18</f>
        <v>19.12</v>
      </c>
      <c r="D64" s="45">
        <f>'Company Info'!$A$78</f>
        <v>1.3</v>
      </c>
      <c r="E64" s="58">
        <f>B64/D64</f>
        <v>19.376923076923077</v>
      </c>
      <c r="F64" s="58">
        <f>C64/D64</f>
        <v>14.707692307692309</v>
      </c>
      <c r="G64" s="45">
        <f>'Company Info'!$A$88</f>
        <v>0.2</v>
      </c>
      <c r="H64" s="59">
        <f>G64/D64</f>
        <v>0.15384615384615385</v>
      </c>
      <c r="I64" s="59">
        <f>G64/C64</f>
        <v>0.010460251046025104</v>
      </c>
      <c r="J64" s="44"/>
      <c r="K64" s="44"/>
      <c r="L64" s="44"/>
    </row>
    <row r="65" spans="1:12" ht="12">
      <c r="A65" s="64" t="str">
        <f>CONCATENATE('Company Info'!$A$94-1," ...................")</f>
        <v>1993 ...................</v>
      </c>
      <c r="B65" s="45">
        <f>'Company Info'!$A$9</f>
        <v>29.56</v>
      </c>
      <c r="C65" s="45">
        <f>'Company Info'!$A$19</f>
        <v>22.75</v>
      </c>
      <c r="D65" s="45">
        <f>'Company Info'!$A$79</f>
        <v>1.45</v>
      </c>
      <c r="E65" s="58">
        <f>B65/D65</f>
        <v>20.386206896551723</v>
      </c>
      <c r="F65" s="58">
        <f>C65/D65</f>
        <v>15.689655172413794</v>
      </c>
      <c r="G65" s="45">
        <f>'Company Info'!$A$89</f>
        <v>0.21</v>
      </c>
      <c r="H65" s="59">
        <f>G65/D65</f>
        <v>0.14482758620689656</v>
      </c>
      <c r="I65" s="59">
        <f>G65/C65</f>
        <v>0.00923076923076923</v>
      </c>
      <c r="J65" s="44"/>
      <c r="K65" s="44"/>
      <c r="L65" s="44"/>
    </row>
    <row r="66" spans="1:12" ht="12">
      <c r="A66" s="64" t="str">
        <f>CONCATENATE('Company Info'!$A$94," ...................")</f>
        <v>1994 ...................</v>
      </c>
      <c r="B66" s="45">
        <f>'Company Info'!$A$10</f>
        <v>31.37</v>
      </c>
      <c r="C66" s="45">
        <f>'Company Info'!$A$20</f>
        <v>25.62</v>
      </c>
      <c r="D66" s="45">
        <f>'Company Info'!$A$80</f>
        <v>1.68</v>
      </c>
      <c r="E66" s="58">
        <f>B66/D66</f>
        <v>18.672619047619047</v>
      </c>
      <c r="F66" s="58">
        <f>C66/D66</f>
        <v>15.250000000000002</v>
      </c>
      <c r="G66" s="45">
        <f>'Company Info'!$A$90</f>
        <v>0.23</v>
      </c>
      <c r="H66" s="59">
        <f>G66/D66</f>
        <v>0.13690476190476192</v>
      </c>
      <c r="I66" s="59">
        <f>G66/C66</f>
        <v>0.00897736143637783</v>
      </c>
      <c r="J66" s="44"/>
      <c r="K66" s="44"/>
      <c r="L66" s="44"/>
    </row>
    <row r="67" spans="1:12" ht="12">
      <c r="A67" s="43"/>
      <c r="B67" s="44"/>
      <c r="C67" s="66"/>
      <c r="D67" s="44"/>
      <c r="E67" s="66"/>
      <c r="F67" s="66"/>
      <c r="G67" s="44"/>
      <c r="H67" s="66"/>
      <c r="I67" s="44"/>
      <c r="J67" s="44"/>
      <c r="K67" s="44"/>
      <c r="L67" s="44"/>
    </row>
    <row r="68" spans="1:12" ht="12">
      <c r="A68" s="64" t="s">
        <v>292</v>
      </c>
      <c r="B68" s="65">
        <f>'Company Info'!$A$91</f>
        <v>39.12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2">
      <c r="A69" s="64" t="s">
        <v>293</v>
      </c>
      <c r="B69" s="65">
        <f>'Company Info'!$A$96</f>
        <v>39.25</v>
      </c>
      <c r="C69" s="44"/>
      <c r="D69" s="44"/>
      <c r="E69" s="66"/>
      <c r="F69" s="44"/>
      <c r="G69" s="44"/>
      <c r="H69" s="44"/>
      <c r="I69" s="44"/>
      <c r="J69" s="44"/>
      <c r="K69" s="44"/>
      <c r="L69" s="44"/>
    </row>
    <row r="70" spans="1:12" ht="12">
      <c r="A70" s="64" t="s">
        <v>294</v>
      </c>
      <c r="B70" s="65">
        <f>'Company Info'!$A$97</f>
        <v>25.62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2">
      <c r="A71" s="43" t="s">
        <v>295</v>
      </c>
      <c r="B71" s="67">
        <f>AVERAGE(C62:C66)</f>
        <v>18.610000000000003</v>
      </c>
      <c r="C71" s="45"/>
      <c r="D71" s="44"/>
      <c r="E71" s="45"/>
      <c r="F71" s="45"/>
      <c r="G71" s="44"/>
      <c r="H71" s="59"/>
      <c r="I71" s="44"/>
      <c r="J71" s="44"/>
      <c r="K71" s="44"/>
      <c r="L71" s="44"/>
    </row>
    <row r="72" spans="1:12" ht="12">
      <c r="A72" s="64" t="s">
        <v>296</v>
      </c>
      <c r="B72" s="58">
        <f>AVERAGE(E62:E66)</f>
        <v>18.59569681276578</v>
      </c>
      <c r="C72" s="45"/>
      <c r="D72" s="44"/>
      <c r="E72" s="45"/>
      <c r="F72" s="45"/>
      <c r="G72" s="44"/>
      <c r="H72" s="59"/>
      <c r="I72" s="44"/>
      <c r="J72" s="44"/>
      <c r="K72" s="44"/>
      <c r="L72" s="44"/>
    </row>
    <row r="73" spans="1:12" ht="12">
      <c r="A73" s="64" t="s">
        <v>297</v>
      </c>
      <c r="B73" s="58">
        <f>AVERAGE(F62:F66)</f>
        <v>13.634675401227124</v>
      </c>
      <c r="C73" s="45"/>
      <c r="D73" s="44"/>
      <c r="E73" s="45"/>
      <c r="F73" s="45"/>
      <c r="G73" s="44"/>
      <c r="H73" s="59"/>
      <c r="I73" s="44"/>
      <c r="J73" s="44"/>
      <c r="K73" s="44"/>
      <c r="L73" s="44"/>
    </row>
    <row r="74" spans="1:12" ht="12">
      <c r="A74" s="64" t="s">
        <v>298</v>
      </c>
      <c r="B74" s="58">
        <f>AVERAGE(B72,B73)</f>
        <v>16.115186106996454</v>
      </c>
      <c r="C74" s="66"/>
      <c r="D74" s="66"/>
      <c r="E74" s="44"/>
      <c r="F74" s="66"/>
      <c r="G74" s="66"/>
      <c r="H74" s="44"/>
      <c r="I74" s="44"/>
      <c r="J74" s="44"/>
      <c r="K74" s="44"/>
      <c r="L74" s="44"/>
    </row>
    <row r="75" spans="1:12" ht="12">
      <c r="A75" s="64" t="s">
        <v>299</v>
      </c>
      <c r="B75" s="58">
        <f>'Company Info'!$A$92</f>
        <v>22.49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2">
      <c r="A76" s="64" t="s">
        <v>300</v>
      </c>
      <c r="B76" s="59">
        <f>AVERAGE(H62:H66)</f>
        <v>0.14879402206988415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2">
      <c r="A77" s="64"/>
      <c r="B77" s="58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2">
      <c r="A78" s="43" t="s">
        <v>212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2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">
      <c r="A80" s="43" t="s">
        <v>301</v>
      </c>
      <c r="B80" s="44"/>
      <c r="C80" s="44"/>
      <c r="D80" s="44"/>
      <c r="E80" s="44"/>
      <c r="F80" s="44"/>
      <c r="G80" s="44"/>
      <c r="H80" s="44"/>
      <c r="I80" s="65"/>
      <c r="J80" s="44"/>
      <c r="K80" s="44"/>
      <c r="L80" s="44"/>
    </row>
    <row r="81" spans="1:12" ht="12">
      <c r="A81" s="43" t="s">
        <v>302</v>
      </c>
      <c r="B81" s="58">
        <f>IF(('Company Info'!$A$111)&lt;=0,B72,('Company Info'!$A$111))</f>
        <v>18.59569681276578</v>
      </c>
      <c r="C81" s="44" t="s">
        <v>217</v>
      </c>
      <c r="D81" s="45">
        <f>IF(('Company Info'!$A$150)&lt;=0,'Company Info'!$A$109,('Company Info'!$A$150))</f>
        <v>3.265</v>
      </c>
      <c r="E81" s="44" t="s">
        <v>303</v>
      </c>
      <c r="F81" s="51">
        <f>IF(('Company Info'!$A$151)&lt;=0,(B81*D81),('Company Info'!$A$151))</f>
        <v>60.71495009368027</v>
      </c>
      <c r="G81" s="44"/>
      <c r="H81" s="66"/>
      <c r="I81" s="44"/>
      <c r="J81" s="44"/>
      <c r="K81" s="44"/>
      <c r="L81" s="44"/>
    </row>
    <row r="82" spans="1:12" ht="12">
      <c r="A82" s="43"/>
      <c r="B82" s="44"/>
      <c r="C82" s="44"/>
      <c r="D82" s="66"/>
      <c r="E82" s="44"/>
      <c r="F82" s="44"/>
      <c r="G82" s="44"/>
      <c r="H82" s="44"/>
      <c r="I82" s="44"/>
      <c r="J82" s="44"/>
      <c r="K82" s="44"/>
      <c r="L82" s="44"/>
    </row>
    <row r="83" spans="1:12" ht="12">
      <c r="A83" s="43" t="s">
        <v>304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">
      <c r="A84" s="43" t="s">
        <v>305</v>
      </c>
      <c r="B84" s="58">
        <f>IF(('Company Info'!$A$112)&lt;=0,B73,('Company Info'!$A$112))</f>
        <v>13.634675401227124</v>
      </c>
      <c r="C84" s="44" t="s">
        <v>221</v>
      </c>
      <c r="D84" s="45">
        <f>IF(('Company Info'!$A$124)&lt;=0,'Company Info'!$A$80,('Company Info'!$A$124))</f>
        <v>1.68</v>
      </c>
      <c r="E84" s="44" t="s">
        <v>303</v>
      </c>
      <c r="F84" s="51">
        <f>B84*D84</f>
        <v>22.906254674061568</v>
      </c>
      <c r="G84" s="44"/>
      <c r="H84" s="66"/>
      <c r="I84" s="44"/>
      <c r="J84" s="44"/>
      <c r="K84" s="44"/>
      <c r="L84" s="44"/>
    </row>
    <row r="85" spans="1:12" ht="12">
      <c r="A85" s="43" t="s">
        <v>306</v>
      </c>
      <c r="B85" s="51">
        <f>AVERAGE(C62:C66)</f>
        <v>18.610000000000003</v>
      </c>
      <c r="C85" s="44"/>
      <c r="D85" s="68"/>
      <c r="E85" s="44"/>
      <c r="F85" s="44"/>
      <c r="G85" s="44"/>
      <c r="H85" s="44"/>
      <c r="I85" s="44"/>
      <c r="J85" s="44"/>
      <c r="K85" s="44"/>
      <c r="L85" s="44"/>
    </row>
    <row r="86" spans="1:12" ht="12">
      <c r="A86" s="43" t="s">
        <v>307</v>
      </c>
      <c r="B86" s="69">
        <f>IF(('Company Info'!$A$199)&lt;=0,SMALL(C64:C66,1),('Company Info'!$A$199))</f>
        <v>19.12</v>
      </c>
      <c r="C86" s="44"/>
      <c r="D86" s="68"/>
      <c r="E86" s="44"/>
      <c r="F86" s="44"/>
      <c r="G86" s="44"/>
      <c r="H86" s="44"/>
      <c r="I86" s="44"/>
      <c r="J86" s="44"/>
      <c r="K86" s="44"/>
      <c r="L86" s="44"/>
    </row>
    <row r="87" spans="1:12" ht="12">
      <c r="A87" s="43" t="s">
        <v>308</v>
      </c>
      <c r="B87" s="69">
        <f>IF(('Company Info'!$A$93)&lt;=0,(SUM('Company Info'!$A$222:$A$225)/(LARGE(I62:I66,1))),('Company Info'!$A$93)/(LARGE(I62:I66,1)))</f>
        <v>19.590000000000003</v>
      </c>
      <c r="C87" s="44"/>
      <c r="D87" s="68"/>
      <c r="E87" s="44"/>
      <c r="F87" s="44"/>
      <c r="G87" s="44"/>
      <c r="H87" s="44"/>
      <c r="I87" s="44"/>
      <c r="J87" s="44"/>
      <c r="K87" s="44"/>
      <c r="L87" s="44"/>
    </row>
    <row r="88" spans="1:12" ht="12">
      <c r="A88" s="43"/>
      <c r="B88" s="70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">
      <c r="A89" s="64" t="s">
        <v>309</v>
      </c>
      <c r="B89" s="51">
        <f>IF(('Company Info'!$A$145)&lt;=0,F84,('Company Info'!$A$145))</f>
        <v>22.906254674061568</v>
      </c>
      <c r="C89" s="44"/>
      <c r="D89" s="44"/>
      <c r="E89" s="44"/>
      <c r="F89" s="44"/>
      <c r="G89" s="44"/>
      <c r="H89" s="55"/>
      <c r="I89" s="44"/>
      <c r="J89" s="44"/>
      <c r="K89" s="44"/>
      <c r="L89" s="44"/>
    </row>
    <row r="90" spans="1:12" ht="12">
      <c r="A90" s="43"/>
      <c r="B90" s="65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">
      <c r="A91" s="43" t="s">
        <v>226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">
      <c r="A92" s="43" t="s">
        <v>310</v>
      </c>
      <c r="B92" s="51">
        <f>B89</f>
        <v>22.906254674061568</v>
      </c>
      <c r="C92" s="71" t="s">
        <v>228</v>
      </c>
      <c r="D92" s="51">
        <f>ROUND(($F$81-$B$89)/3+B92,1)</f>
        <v>35.5</v>
      </c>
      <c r="E92" s="44"/>
      <c r="F92" s="44"/>
      <c r="G92" s="44"/>
      <c r="H92" s="44"/>
      <c r="I92" s="44"/>
      <c r="J92" s="44"/>
      <c r="K92" s="44"/>
      <c r="L92" s="44"/>
    </row>
    <row r="93" spans="1:12" ht="12">
      <c r="A93" s="43" t="s">
        <v>311</v>
      </c>
      <c r="B93" s="49">
        <f>D92</f>
        <v>35.5</v>
      </c>
      <c r="C93" s="71" t="s">
        <v>228</v>
      </c>
      <c r="D93" s="51">
        <f>ROUND(($F$81-$B$89)/3+B93,1)</f>
        <v>48.1</v>
      </c>
      <c r="E93" s="44"/>
      <c r="F93" s="44"/>
      <c r="G93" s="44"/>
      <c r="H93" s="44"/>
      <c r="I93" s="44"/>
      <c r="J93" s="44"/>
      <c r="K93" s="44"/>
      <c r="L93" s="44"/>
    </row>
    <row r="94" spans="1:12" ht="12">
      <c r="A94" s="43" t="s">
        <v>312</v>
      </c>
      <c r="B94" s="51">
        <f>D93</f>
        <v>48.1</v>
      </c>
      <c r="C94" s="71" t="s">
        <v>228</v>
      </c>
      <c r="D94" s="51">
        <f>F81</f>
        <v>60.71495009368027</v>
      </c>
      <c r="E94" s="44"/>
      <c r="F94" s="44"/>
      <c r="G94" s="44"/>
      <c r="H94" s="44"/>
      <c r="I94" s="44"/>
      <c r="J94" s="44"/>
      <c r="K94" s="44"/>
      <c r="L94" s="44"/>
    </row>
    <row r="95" spans="1:12" ht="12">
      <c r="A95" s="43" t="s">
        <v>231</v>
      </c>
      <c r="B95" s="49">
        <f>'Company Info'!$A$91</f>
        <v>39.12</v>
      </c>
      <c r="C95" s="72" t="str">
        <f>IF(B95&lt;=D92," is in the BUY zone",IF(B95&gt;B94,"is in the SELL zone","is in the HOLD zone"))</f>
        <v>is in the HOLD zone</v>
      </c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">
      <c r="A97" s="43" t="s">
        <v>232</v>
      </c>
      <c r="B97" s="58">
        <f>IF(('Company Info'!$A$133)&lt;=0,((F81-B95)/(B95-B89)),('Company Info'!$A$133))</f>
        <v>1.3318915315101874</v>
      </c>
      <c r="C97" s="44" t="s">
        <v>233</v>
      </c>
      <c r="D97" s="44"/>
      <c r="E97" s="44"/>
      <c r="F97" s="44"/>
      <c r="G97" s="55"/>
      <c r="H97" s="55"/>
      <c r="I97" s="44"/>
      <c r="J97" s="44"/>
      <c r="K97" s="44"/>
      <c r="L97" s="44"/>
    </row>
    <row r="98" spans="1:12" ht="12">
      <c r="A98" s="43"/>
      <c r="B98" s="73"/>
      <c r="C98" s="44"/>
      <c r="D98" s="44"/>
      <c r="E98" s="67"/>
      <c r="F98" s="44"/>
      <c r="G98" s="44"/>
      <c r="H98" s="44"/>
      <c r="I98" s="44"/>
      <c r="J98" s="44"/>
      <c r="K98" s="44"/>
      <c r="L98" s="44"/>
    </row>
    <row r="99" spans="1:12" ht="12">
      <c r="A99" s="43" t="s">
        <v>234</v>
      </c>
      <c r="B99" s="63">
        <f>(((F81/B95)*100)-100)/100</f>
        <v>0.5520181516789439</v>
      </c>
      <c r="C99" s="44"/>
      <c r="D99" s="44"/>
      <c r="E99" s="44"/>
      <c r="F99" s="44"/>
      <c r="G99" s="55"/>
      <c r="H99" s="44"/>
      <c r="I99" s="44"/>
      <c r="J99" s="44"/>
      <c r="K99" s="44"/>
      <c r="L99" s="44"/>
    </row>
    <row r="100" spans="1:12" ht="12">
      <c r="A100" s="43"/>
      <c r="B100" s="73"/>
      <c r="C100" s="44"/>
      <c r="D100" s="44"/>
      <c r="E100" s="67"/>
      <c r="F100" s="44"/>
      <c r="G100" s="44"/>
      <c r="H100" s="44"/>
      <c r="I100" s="44"/>
      <c r="J100" s="44"/>
      <c r="K100" s="44"/>
      <c r="L100" s="44"/>
    </row>
    <row r="101" ht="12">
      <c r="A101" s="43" t="s">
        <v>235</v>
      </c>
    </row>
    <row r="103" spans="1:2" ht="12">
      <c r="A103" s="43" t="s">
        <v>313</v>
      </c>
      <c r="B103" s="63">
        <f>IF(('Company Info'!$A$129)&lt;=0,(('Company Info'!$A$90)/('Company Info'!$A$91)),(('Company Info'!$A$129)/100))</f>
        <v>0.005879345603271985</v>
      </c>
    </row>
    <row r="104" spans="1:2" ht="12">
      <c r="A104" s="43" t="s">
        <v>314</v>
      </c>
      <c r="B104" s="56" t="str">
        <f>IF(('Company Info'!$A$130&lt;=0)," n/a ",'Company Info'!$A$130/100)</f>
        <v> n/a </v>
      </c>
    </row>
    <row r="105" spans="1:2" ht="12">
      <c r="A105" s="43" t="s">
        <v>315</v>
      </c>
      <c r="B105" s="56" t="str">
        <f>IF(('Company Info'!$A$197&lt;=0)," n/a ",'Company Info'!$A$197)</f>
        <v> n/a </v>
      </c>
    </row>
    <row r="106" spans="1:2" ht="12">
      <c r="A106" s="75" t="s">
        <v>316</v>
      </c>
      <c r="B106" s="76">
        <f>B75/B74</f>
        <v>1.3955780498393313</v>
      </c>
    </row>
  </sheetData>
  <printOptions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I16" sqref="I16"/>
    </sheetView>
  </sheetViews>
  <sheetFormatPr defaultColWidth="9.00390625" defaultRowHeight="12.75"/>
  <cols>
    <col min="1" max="1" width="5.125" style="85" customWidth="1"/>
    <col min="2" max="2" width="9.125" style="85" customWidth="1"/>
    <col min="3" max="3" width="8.75390625" style="85" customWidth="1"/>
    <col min="4" max="5" width="13.625" style="85" customWidth="1"/>
    <col min="6" max="6" width="10.375" style="85" customWidth="1"/>
    <col min="7" max="7" width="10.125" style="85" customWidth="1"/>
    <col min="8" max="8" width="9.875" style="85" customWidth="1"/>
    <col min="9" max="9" width="6.625" style="85" customWidth="1"/>
    <col min="10" max="10" width="9.00390625" style="88" customWidth="1"/>
    <col min="11" max="16384" width="9.00390625" style="84" customWidth="1"/>
  </cols>
  <sheetData>
    <row r="1" spans="1:10" s="79" customFormat="1" ht="12.75">
      <c r="A1" s="77" t="s">
        <v>200</v>
      </c>
      <c r="B1" s="77" t="s">
        <v>4</v>
      </c>
      <c r="C1" s="77" t="s">
        <v>4</v>
      </c>
      <c r="D1" s="77" t="s">
        <v>179</v>
      </c>
      <c r="E1" s="77" t="s">
        <v>179</v>
      </c>
      <c r="F1" s="77" t="s">
        <v>0</v>
      </c>
      <c r="G1" s="77" t="s">
        <v>2</v>
      </c>
      <c r="H1" s="77" t="s">
        <v>203</v>
      </c>
      <c r="I1" s="77" t="s">
        <v>203</v>
      </c>
      <c r="J1" s="78">
        <v>0.15</v>
      </c>
    </row>
    <row r="2" spans="1:10" ht="12.75">
      <c r="A2" s="80">
        <f>'Company Info'!$A$94-9</f>
        <v>1985</v>
      </c>
      <c r="B2" s="81">
        <f>(IF(('Company Info'!A21)&gt;0,('Company Info'!A21),"#N/A"))</f>
        <v>3694.75</v>
      </c>
      <c r="C2" s="81">
        <f>IF((B2="#N/A"),B2,IF(MAX($B$2:$B$11)&gt;10000,(B2/100),B2))</f>
        <v>3694.75</v>
      </c>
      <c r="D2" s="81">
        <f>(IF(('Company Info'!A41)&gt;0,('Company Info'!A41),"#N/A"))</f>
        <v>782.24</v>
      </c>
      <c r="E2" s="81">
        <f aca="true" t="shared" si="0" ref="E2:E11">IF((D2="#N/A"),D2,IF(MAX($D$2:$D$11)&gt;1000,(D2/10),IF(MIN($D$2:$D$11)&lt;1,(D2*10),D2)))</f>
        <v>78.224</v>
      </c>
      <c r="F2" s="81">
        <f>(IF(('Company Info'!A1)&gt;0,('Company Info'!A1),"#N/A"))</f>
        <v>9.08</v>
      </c>
      <c r="G2" s="81">
        <f>(IF(('Company Info'!A11)&gt;0,('Company Info'!A11),"#N/A"))</f>
        <v>5.68</v>
      </c>
      <c r="H2" s="81">
        <f aca="true" t="shared" si="1" ref="H2:H15">IF((I2="#N/A"),I2,IF(MIN($I$2:$I$11)&lt;1,(100*I2),I2))</f>
        <v>55.00000000000001</v>
      </c>
      <c r="I2" s="82">
        <f>IF(('Company Info'!A71)&gt;0,('Company Info'!A71),"#N/A")</f>
        <v>0.55</v>
      </c>
      <c r="J2" s="83">
        <v>1</v>
      </c>
    </row>
    <row r="3" spans="1:10" ht="12.75">
      <c r="A3" s="80">
        <f>'Company Info'!$A$94-8</f>
        <v>1986</v>
      </c>
      <c r="B3" s="81">
        <f>(IF(('Company Info'!A22)&gt;0,('Company Info'!A22),"#N/A"))</f>
        <v>4143.5</v>
      </c>
      <c r="C3" s="81">
        <f aca="true" t="shared" si="2" ref="C3:C11">IF((B3="#N/A"),B3,IF(MAX($B$2:$B$11)&gt;10000,(B3/100),B3))</f>
        <v>4143.5</v>
      </c>
      <c r="D3" s="81">
        <f>(IF(('Company Info'!A42)&gt;0,('Company Info'!A42),"#N/A"))</f>
        <v>848.12</v>
      </c>
      <c r="E3" s="81">
        <f t="shared" si="0"/>
        <v>84.812</v>
      </c>
      <c r="F3" s="81">
        <f>(IF(('Company Info'!A2)&gt;0,('Company Info'!A2),"#N/A"))</f>
        <v>12.79</v>
      </c>
      <c r="G3" s="81">
        <f>(IF(('Company Info'!A12)&gt;0,('Company Info'!A12),"#N/A"))</f>
        <v>8.11</v>
      </c>
      <c r="H3" s="81">
        <f t="shared" si="1"/>
        <v>62</v>
      </c>
      <c r="I3" s="82">
        <f>IF(('Company Info'!A72)&gt;0,('Company Info'!A72),"#N/A")</f>
        <v>0.62</v>
      </c>
      <c r="J3" s="83">
        <f aca="true" t="shared" si="3" ref="J3:J16">J2*(1.15)</f>
        <v>1.15</v>
      </c>
    </row>
    <row r="4" spans="1:10" ht="12.75">
      <c r="A4" s="80">
        <f>'Company Info'!$A$94-7</f>
        <v>1987</v>
      </c>
      <c r="B4" s="81">
        <f>(IF(('Company Info'!A23)&gt;0,('Company Info'!A23),"#N/A"))</f>
        <v>4853.21</v>
      </c>
      <c r="C4" s="81">
        <f t="shared" si="2"/>
        <v>4853.21</v>
      </c>
      <c r="D4" s="81">
        <f>(IF(('Company Info'!A43)&gt;0,('Company Info'!A43),"#N/A"))</f>
        <v>958.76</v>
      </c>
      <c r="E4" s="81">
        <f t="shared" si="0"/>
        <v>95.876</v>
      </c>
      <c r="F4" s="81">
        <f>(IF(('Company Info'!A3)&gt;0,('Company Info'!A3),"#N/A"))</f>
        <v>15.28</v>
      </c>
      <c r="G4" s="81">
        <f>(IF(('Company Info'!A13)&gt;0,('Company Info'!A13),"#N/A"))</f>
        <v>7.84</v>
      </c>
      <c r="H4" s="81">
        <f t="shared" si="1"/>
        <v>72</v>
      </c>
      <c r="I4" s="82">
        <f>IF(('Company Info'!A73)&gt;0,('Company Info'!A73),"#N/A")</f>
        <v>0.72</v>
      </c>
      <c r="J4" s="83">
        <f t="shared" si="3"/>
        <v>1.3224999999999998</v>
      </c>
    </row>
    <row r="5" spans="1:10" ht="12.75">
      <c r="A5" s="80">
        <f>'Company Info'!$A$94-6</f>
        <v>1988</v>
      </c>
      <c r="B5" s="81">
        <f>(IF(('Company Info'!A24)&gt;0,('Company Info'!A24),"#N/A"))</f>
        <v>5520.76</v>
      </c>
      <c r="C5" s="81">
        <f t="shared" si="2"/>
        <v>5520.76</v>
      </c>
      <c r="D5" s="81">
        <f>(IF(('Company Info'!A44)&gt;0,('Company Info'!A44),"#N/A"))</f>
        <v>1046.46</v>
      </c>
      <c r="E5" s="81">
        <f t="shared" si="0"/>
        <v>104.646</v>
      </c>
      <c r="F5" s="81">
        <f>(IF(('Company Info'!A4)&gt;0,('Company Info'!A4),"#N/A"))</f>
        <v>12.75</v>
      </c>
      <c r="G5" s="81">
        <f>(IF(('Company Info'!A14)&gt;0,('Company Info'!A14),"#N/A"))</f>
        <v>10.19</v>
      </c>
      <c r="H5" s="81">
        <f t="shared" si="1"/>
        <v>86</v>
      </c>
      <c r="I5" s="82">
        <f>IF(('Company Info'!A74)&gt;0,('Company Info'!A74),"#N/A")</f>
        <v>0.86</v>
      </c>
      <c r="J5" s="83">
        <f t="shared" si="3"/>
        <v>1.5208749999999995</v>
      </c>
    </row>
    <row r="6" spans="1:10" ht="12.75">
      <c r="A6" s="80">
        <f>'Company Info'!$A$94-5</f>
        <v>1989</v>
      </c>
      <c r="B6" s="81">
        <f>(IF(('Company Info'!A25)&gt;0,('Company Info'!A25),"#N/A"))</f>
        <v>6065</v>
      </c>
      <c r="C6" s="81">
        <f t="shared" si="2"/>
        <v>6065</v>
      </c>
      <c r="D6" s="81">
        <f>(IF(('Company Info'!A45)&gt;0,('Company Info'!A45),"#N/A"))</f>
        <v>1157</v>
      </c>
      <c r="E6" s="81">
        <f t="shared" si="0"/>
        <v>115.7</v>
      </c>
      <c r="F6" s="81">
        <f>(IF(('Company Info'!A5)&gt;0,('Company Info'!A5),"#N/A"))</f>
        <v>17.44</v>
      </c>
      <c r="G6" s="81">
        <f>(IF(('Company Info'!A15)&gt;0,('Company Info'!A15),"#N/A"))</f>
        <v>11.5</v>
      </c>
      <c r="H6" s="81">
        <f t="shared" si="1"/>
        <v>97</v>
      </c>
      <c r="I6" s="82">
        <f>IF(('Company Info'!A75)&gt;0,('Company Info'!A75),"#N/A")</f>
        <v>0.97</v>
      </c>
      <c r="J6" s="83">
        <f t="shared" si="3"/>
        <v>1.7490062499999994</v>
      </c>
    </row>
    <row r="7" spans="1:10" ht="12.75">
      <c r="A7" s="80">
        <f>'Company Info'!$A$94-4</f>
        <v>1990</v>
      </c>
      <c r="B7" s="81">
        <f>(IF(('Company Info'!A26)&gt;0,('Company Info'!A26),"#N/A"))</f>
        <v>6639.6</v>
      </c>
      <c r="C7" s="81">
        <f t="shared" si="2"/>
        <v>6639.6</v>
      </c>
      <c r="D7" s="81">
        <f>(IF(('Company Info'!A46)&gt;0,('Company Info'!A46),"#N/A"))</f>
        <v>1246.3</v>
      </c>
      <c r="E7" s="81">
        <f t="shared" si="0"/>
        <v>124.63</v>
      </c>
      <c r="F7" s="81">
        <f>(IF(('Company Info'!A6)&gt;0,('Company Info'!A6),"#N/A"))</f>
        <v>19.25</v>
      </c>
      <c r="G7" s="81">
        <f>(IF(('Company Info'!A16)&gt;0,('Company Info'!A16),"#N/A"))</f>
        <v>12.5</v>
      </c>
      <c r="H7" s="81">
        <f t="shared" si="1"/>
        <v>110.00000000000001</v>
      </c>
      <c r="I7" s="82">
        <f>IF(('Company Info'!A76)&gt;0,('Company Info'!A76),"#N/A")</f>
        <v>1.1</v>
      </c>
      <c r="J7" s="83">
        <f t="shared" si="3"/>
        <v>2.0113571874999994</v>
      </c>
    </row>
    <row r="8" spans="1:10" ht="12.75">
      <c r="A8" s="80">
        <f>'Company Info'!$A$94-3</f>
        <v>1991</v>
      </c>
      <c r="B8" s="81">
        <f>(IF(('Company Info'!A27)&gt;0,('Company Info'!A27),"#N/A"))</f>
        <v>6695</v>
      </c>
      <c r="C8" s="81">
        <f t="shared" si="2"/>
        <v>6695</v>
      </c>
      <c r="D8" s="81">
        <f>(IF(('Company Info'!A47)&gt;0,('Company Info'!A47),"#N/A"))</f>
        <v>1299.4</v>
      </c>
      <c r="E8" s="81">
        <f t="shared" si="0"/>
        <v>129.94</v>
      </c>
      <c r="F8" s="81">
        <f>(IF(('Company Info'!A7)&gt;0,('Company Info'!A7),"#N/A"))</f>
        <v>19.94</v>
      </c>
      <c r="G8" s="81">
        <f>(IF(('Company Info'!A17)&gt;0,('Company Info'!A17),"#N/A"))</f>
        <v>13.06</v>
      </c>
      <c r="H8" s="81">
        <f t="shared" si="1"/>
        <v>117</v>
      </c>
      <c r="I8" s="82">
        <f>IF(('Company Info'!A77)&gt;0,('Company Info'!A77),"#N/A")</f>
        <v>1.17</v>
      </c>
      <c r="J8" s="83">
        <f t="shared" si="3"/>
        <v>2.313060765624999</v>
      </c>
    </row>
    <row r="9" spans="1:10" ht="12.75">
      <c r="A9" s="80">
        <f>'Company Info'!$A$94-2</f>
        <v>1992</v>
      </c>
      <c r="B9" s="81">
        <f>(IF(('Company Info'!A28)&gt;0,('Company Info'!A28),"#N/A"))</f>
        <v>7133.3</v>
      </c>
      <c r="C9" s="81">
        <f t="shared" si="2"/>
        <v>7133.3</v>
      </c>
      <c r="D9" s="81">
        <f>(IF(('Company Info'!A48)&gt;0,('Company Info'!A48),"#N/A"))</f>
        <v>1448.1</v>
      </c>
      <c r="E9" s="81">
        <f t="shared" si="0"/>
        <v>144.81</v>
      </c>
      <c r="F9" s="81">
        <f>(IF(('Company Info'!A8)&gt;0,('Company Info'!A8),"#N/A"))</f>
        <v>25.19</v>
      </c>
      <c r="G9" s="81">
        <f>(IF(('Company Info'!A18)&gt;0,('Company Info'!A18),"#N/A"))</f>
        <v>19.12</v>
      </c>
      <c r="H9" s="81">
        <f t="shared" si="1"/>
        <v>130</v>
      </c>
      <c r="I9" s="82">
        <f>IF(('Company Info'!A78)&gt;0,('Company Info'!A78),"#N/A")</f>
        <v>1.3</v>
      </c>
      <c r="J9" s="83">
        <f t="shared" si="3"/>
        <v>2.6600198804687487</v>
      </c>
    </row>
    <row r="10" spans="1:10" ht="12.75">
      <c r="A10" s="80">
        <f>'Company Info'!$A$94-1</f>
        <v>1993</v>
      </c>
      <c r="B10" s="81">
        <f>(IF(('Company Info'!A29)&gt;0,('Company Info'!A29),"#N/A"))</f>
        <v>7408.1</v>
      </c>
      <c r="C10" s="81">
        <f t="shared" si="2"/>
        <v>7408.1</v>
      </c>
      <c r="D10" s="81">
        <f>(IF(('Company Info'!A49)&gt;0,('Company Info'!A49),"#N/A"))</f>
        <v>1675.7</v>
      </c>
      <c r="E10" s="81">
        <f t="shared" si="0"/>
        <v>167.57</v>
      </c>
      <c r="F10" s="81">
        <f>(IF(('Company Info'!A9)&gt;0,('Company Info'!A9),"#N/A"))</f>
        <v>29.56</v>
      </c>
      <c r="G10" s="81">
        <f>(IF(('Company Info'!A19)&gt;0,('Company Info'!A19),"#N/A"))</f>
        <v>22.75</v>
      </c>
      <c r="H10" s="81">
        <f t="shared" si="1"/>
        <v>145</v>
      </c>
      <c r="I10" s="82">
        <f>IF(('Company Info'!A79)&gt;0,('Company Info'!A79),"#N/A")</f>
        <v>1.45</v>
      </c>
      <c r="J10" s="83">
        <f t="shared" si="3"/>
        <v>3.0590228625390607</v>
      </c>
    </row>
    <row r="11" spans="1:10" ht="12.75">
      <c r="A11" s="80">
        <f>'Company Info'!$A$94</f>
        <v>1994</v>
      </c>
      <c r="B11" s="81">
        <f>(IF(('Company Info'!A30)&gt;0,('Company Info'!A30),"#N/A"))</f>
        <v>8320.8</v>
      </c>
      <c r="C11" s="81">
        <f t="shared" si="2"/>
        <v>8320.8</v>
      </c>
      <c r="D11" s="81">
        <f>(IF(('Company Info'!A50)&gt;0,('Company Info'!A50),"#N/A"))</f>
        <v>1886.6</v>
      </c>
      <c r="E11" s="81">
        <f t="shared" si="0"/>
        <v>188.66</v>
      </c>
      <c r="F11" s="81">
        <f>(IF(('Company Info'!A10)&gt;0,('Company Info'!A10),"#N/A"))</f>
        <v>31.37</v>
      </c>
      <c r="G11" s="81">
        <f>(IF(('Company Info'!A20)&gt;0,('Company Info'!A20),"#N/A"))</f>
        <v>25.62</v>
      </c>
      <c r="H11" s="81">
        <f t="shared" si="1"/>
        <v>168</v>
      </c>
      <c r="I11" s="82">
        <f>IF(('Company Info'!A80)&gt;0,('Company Info'!A80),"#N/A")</f>
        <v>1.68</v>
      </c>
      <c r="J11" s="83">
        <f t="shared" si="3"/>
        <v>3.5178762919199196</v>
      </c>
    </row>
    <row r="12" spans="1:10" ht="12.75">
      <c r="A12" s="85">
        <f>A11+1</f>
        <v>1995</v>
      </c>
      <c r="B12" s="81"/>
      <c r="C12" s="81" t="e">
        <f>#N/A</f>
        <v>#N/A</v>
      </c>
      <c r="D12" s="85" t="e">
        <v>#N/A</v>
      </c>
      <c r="E12" s="81" t="e">
        <f>IF((D12="#N/A"),D12,IF(MAX($B$2:$B$16)&gt;1000,(D12/10),D12))</f>
        <v>#N/A</v>
      </c>
      <c r="F12" s="81">
        <f>IF(('Company Info'!$A$91)&gt;0,('Company Info'!$A$91),"#N/A")</f>
        <v>39.12</v>
      </c>
      <c r="G12" s="81">
        <f>IF(('Company Info'!$A$91)&gt;0,('Company Info'!$A$91),"#N/A")</f>
        <v>39.12</v>
      </c>
      <c r="H12" s="81">
        <f t="shared" si="1"/>
        <v>191.856</v>
      </c>
      <c r="I12" s="86">
        <f>I11+(I11*(IF(('Company Info'!$A$198)&lt;=0,('Company Info'!$A$229),('Company Info'!$A$198))))</f>
        <v>1.9185599999999998</v>
      </c>
      <c r="J12" s="83">
        <f t="shared" si="3"/>
        <v>4.0455577357079076</v>
      </c>
    </row>
    <row r="13" spans="1:10" ht="12.75">
      <c r="A13" s="85">
        <f>A12+1</f>
        <v>1996</v>
      </c>
      <c r="B13" s="81"/>
      <c r="C13" s="81" t="e">
        <f>#N/A</f>
        <v>#N/A</v>
      </c>
      <c r="D13" s="85" t="e">
        <v>#N/A</v>
      </c>
      <c r="E13" s="81" t="e">
        <f>IF((D13="#N/A"),D13,IF(MAX($B$2:$B$16)&gt;1000,(D13/10),D13))</f>
        <v>#N/A</v>
      </c>
      <c r="F13" s="85" t="e">
        <v>#N/A</v>
      </c>
      <c r="G13" s="85" t="e">
        <v>#N/A</v>
      </c>
      <c r="H13" s="81">
        <f t="shared" si="1"/>
        <v>219.09955199999996</v>
      </c>
      <c r="I13" s="86">
        <f>I12+(I12*(IF(('Company Info'!$A$198)&lt;=0,('Company Info'!$A$229),('Company Info'!$A$198))))</f>
        <v>2.1909955199999995</v>
      </c>
      <c r="J13" s="83">
        <f t="shared" si="3"/>
        <v>4.652391396064093</v>
      </c>
    </row>
    <row r="14" spans="1:10" ht="12.75">
      <c r="A14" s="85">
        <f>A13+1</f>
        <v>1997</v>
      </c>
      <c r="B14" s="81"/>
      <c r="C14" s="81" t="e">
        <f>#N/A</f>
        <v>#N/A</v>
      </c>
      <c r="D14" s="85" t="e">
        <v>#N/A</v>
      </c>
      <c r="E14" s="81" t="e">
        <f>IF((D14="#N/A"),D14,IF(MAX($B$2:$B$16)&gt;1000,(D14/10),D14))</f>
        <v>#N/A</v>
      </c>
      <c r="F14" s="85" t="e">
        <v>#N/A</v>
      </c>
      <c r="G14" s="85" t="e">
        <v>#N/A</v>
      </c>
      <c r="H14" s="81">
        <f t="shared" si="1"/>
        <v>250.21168838399996</v>
      </c>
      <c r="I14" s="86">
        <f>I13+(I13*(IF(('Company Info'!$A$198)&lt;=0,('Company Info'!$A$229),('Company Info'!$A$198))))</f>
        <v>2.5021168838399994</v>
      </c>
      <c r="J14" s="83">
        <f t="shared" si="3"/>
        <v>5.350250105473707</v>
      </c>
    </row>
    <row r="15" spans="1:10" ht="12.75">
      <c r="A15" s="85">
        <f>A14+1</f>
        <v>1998</v>
      </c>
      <c r="B15" s="81"/>
      <c r="C15" s="81" t="e">
        <f>#N/A</f>
        <v>#N/A</v>
      </c>
      <c r="D15" s="85" t="e">
        <v>#N/A</v>
      </c>
      <c r="E15" s="81" t="e">
        <f>IF((D15="#N/A"),D15,IF(MAX($B$2:$B$16)&gt;1000,(D15/10),D15))</f>
        <v>#N/A</v>
      </c>
      <c r="F15" s="85" t="e">
        <v>#N/A</v>
      </c>
      <c r="G15" s="85" t="e">
        <v>#N/A</v>
      </c>
      <c r="H15" s="81">
        <f t="shared" si="1"/>
        <v>285.7417481345279</v>
      </c>
      <c r="I15" s="86">
        <f>I14+(I14*(IF(('Company Info'!$A$198)&lt;=0,('Company Info'!$A$229),('Company Info'!$A$198))))</f>
        <v>2.857417481345279</v>
      </c>
      <c r="J15" s="83">
        <f t="shared" si="3"/>
        <v>6.152787621294762</v>
      </c>
    </row>
    <row r="16" spans="1:10" ht="12.75">
      <c r="A16" s="85">
        <f>A15+1</f>
        <v>1999</v>
      </c>
      <c r="B16" s="181" t="e">
        <f>IF(('Company Info'!A134=0),#N/A,'Company Info'!A134)</f>
        <v>#N/A</v>
      </c>
      <c r="C16" s="81" t="e">
        <f>IF((B16="#N/A"),B16,IF(MAX($B$2:$B$11)&gt;10000,(B16/100),B16))</f>
        <v>#N/A</v>
      </c>
      <c r="D16" s="85" t="e">
        <v>#N/A</v>
      </c>
      <c r="E16" s="81" t="e">
        <f>IF((D16="#N/A"),D16,IF(MAX($B$2:$B$16)&gt;1000,(D16/10),D16))</f>
        <v>#N/A</v>
      </c>
      <c r="F16" s="87">
        <f>'Company Info'!A151</f>
        <v>0</v>
      </c>
      <c r="G16" s="87">
        <f>'Company Info'!A145</f>
        <v>0</v>
      </c>
      <c r="H16" s="81">
        <f>IF(MIN($I$2:$I$11)&lt;1,(100*I16),I16)</f>
        <v>326.31707636963085</v>
      </c>
      <c r="I16" s="86">
        <f>I15+(I15*(IF(('Company Info'!$A$198)&lt;=0,('Company Info'!$A$229),('Company Info'!$A$198))))</f>
        <v>3.2631707636963085</v>
      </c>
      <c r="J16" s="83">
        <f t="shared" si="3"/>
        <v>7.075705764488976</v>
      </c>
    </row>
    <row r="17" spans="2:3" ht="12.75">
      <c r="B17" s="81"/>
      <c r="C17" s="81"/>
    </row>
    <row r="18" spans="2:3" ht="12.75">
      <c r="B18" s="89"/>
      <c r="C18" s="81"/>
    </row>
    <row r="19" ht="12.75">
      <c r="B19" s="90" t="s">
        <v>317</v>
      </c>
    </row>
    <row r="21" ht="12.75">
      <c r="F21" s="85">
        <f>IF(('Company Info'!$A$347)&lt;=0,('Company Info'!$A$229),('Company Info'!$A$347))</f>
        <v>0.142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52"/>
  <sheetViews>
    <sheetView showGridLines="0" workbookViewId="0" topLeftCell="A30">
      <selection activeCell="A49" sqref="A49"/>
    </sheetView>
  </sheetViews>
  <sheetFormatPr defaultColWidth="9.00390625" defaultRowHeight="12.75"/>
  <cols>
    <col min="1" max="1" width="67.875" style="0" customWidth="1"/>
  </cols>
  <sheetData>
    <row r="1" ht="12.75">
      <c r="A1" t="s">
        <v>318</v>
      </c>
    </row>
    <row r="2" ht="12.75">
      <c r="A2" s="92" t="s">
        <v>319</v>
      </c>
    </row>
    <row r="3" ht="12.75">
      <c r="A3" s="91">
        <v>35696</v>
      </c>
    </row>
    <row r="6" ht="12.75">
      <c r="A6" t="s">
        <v>320</v>
      </c>
    </row>
    <row r="7" ht="12.75">
      <c r="A7" t="s">
        <v>321</v>
      </c>
    </row>
    <row r="8" ht="12.75">
      <c r="A8" t="s">
        <v>322</v>
      </c>
    </row>
    <row r="9" ht="12.75">
      <c r="A9" t="s">
        <v>323</v>
      </c>
    </row>
    <row r="11" ht="12.75">
      <c r="A11" t="s">
        <v>324</v>
      </c>
    </row>
    <row r="12" ht="12.75">
      <c r="A12" t="s">
        <v>325</v>
      </c>
    </row>
    <row r="13" ht="12.75">
      <c r="A13" t="s">
        <v>326</v>
      </c>
    </row>
    <row r="15" ht="12.75">
      <c r="A15" t="s">
        <v>327</v>
      </c>
    </row>
    <row r="16" ht="12.75">
      <c r="A16" t="s">
        <v>328</v>
      </c>
    </row>
    <row r="17" ht="12.75">
      <c r="A17" t="s">
        <v>329</v>
      </c>
    </row>
    <row r="18" ht="12.75">
      <c r="A18" t="s">
        <v>330</v>
      </c>
    </row>
    <row r="19" ht="12.75">
      <c r="A19" t="s">
        <v>331</v>
      </c>
    </row>
    <row r="21" ht="12.75">
      <c r="A21" t="s">
        <v>332</v>
      </c>
    </row>
    <row r="22" ht="12.75">
      <c r="A22" t="s">
        <v>333</v>
      </c>
    </row>
    <row r="23" ht="12.75">
      <c r="A23" t="s">
        <v>334</v>
      </c>
    </row>
    <row r="25" ht="12.75">
      <c r="A25" t="s">
        <v>335</v>
      </c>
    </row>
    <row r="26" ht="12.75">
      <c r="A26" t="s">
        <v>336</v>
      </c>
    </row>
    <row r="27" ht="12.75">
      <c r="A27" t="s">
        <v>337</v>
      </c>
    </row>
    <row r="28" ht="12.75">
      <c r="A28" t="s">
        <v>338</v>
      </c>
    </row>
    <row r="29" ht="12.75">
      <c r="A29" t="s">
        <v>339</v>
      </c>
    </row>
    <row r="30" ht="12.75">
      <c r="A30" t="s">
        <v>340</v>
      </c>
    </row>
    <row r="31" ht="12.75">
      <c r="A31" t="s">
        <v>341</v>
      </c>
    </row>
    <row r="32" ht="12.75">
      <c r="A32" t="s">
        <v>342</v>
      </c>
    </row>
    <row r="34" ht="12.75">
      <c r="A34" t="s">
        <v>343</v>
      </c>
    </row>
    <row r="35" ht="12.75">
      <c r="A35" t="s">
        <v>344</v>
      </c>
    </row>
    <row r="38" ht="12.75">
      <c r="A38" s="180" t="s">
        <v>345</v>
      </c>
    </row>
    <row r="40" ht="12.75">
      <c r="A40" t="s">
        <v>346</v>
      </c>
    </row>
    <row r="41" ht="12.75">
      <c r="A41" t="s">
        <v>347</v>
      </c>
    </row>
    <row r="42" ht="12.75">
      <c r="A42" t="s">
        <v>348</v>
      </c>
    </row>
    <row r="43" ht="12.75">
      <c r="A43" t="s">
        <v>349</v>
      </c>
    </row>
    <row r="44" ht="12.75">
      <c r="A44" t="s">
        <v>350</v>
      </c>
    </row>
    <row r="45" ht="12.75">
      <c r="A45" t="s">
        <v>351</v>
      </c>
    </row>
    <row r="46" ht="12.75">
      <c r="A46" t="s">
        <v>352</v>
      </c>
    </row>
    <row r="47" ht="12.75">
      <c r="A47" t="s">
        <v>353</v>
      </c>
    </row>
    <row r="48" ht="12.75">
      <c r="A48" t="s">
        <v>354</v>
      </c>
    </row>
    <row r="49" ht="12.75">
      <c r="A49" t="s">
        <v>355</v>
      </c>
    </row>
    <row r="51" ht="12.75">
      <c r="A51" t="s">
        <v>356</v>
      </c>
    </row>
    <row r="52" ht="12.75">
      <c r="A52" t="s">
        <v>357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Gerlach</dc:creator>
  <cp:keywords/>
  <dc:description/>
  <cp:lastModifiedBy>Preferred Customer</cp:lastModifiedBy>
  <cp:lastPrinted>1997-09-23T15:50:08Z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