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240" windowHeight="8220" tabRatio="877" activeTab="20"/>
  </bookViews>
  <sheets>
    <sheet name="C1" sheetId="1" r:id="rId1"/>
    <sheet name="C2A" sheetId="2" r:id="rId2"/>
    <sheet name="C2B" sheetId="3" r:id="rId3"/>
    <sheet name="C2C" sheetId="4" r:id="rId4"/>
    <sheet name="C3" sheetId="5" r:id="rId5"/>
    <sheet name="C4" sheetId="6" r:id="rId6"/>
    <sheet name="C5" sheetId="7" r:id="rId7"/>
    <sheet name="C6" sheetId="8" r:id="rId8"/>
    <sheet name="C6F" sheetId="9" r:id="rId9"/>
    <sheet name="C7" sheetId="10" r:id="rId10"/>
    <sheet name="C8" sheetId="11" r:id="rId11"/>
    <sheet name="C9" sheetId="12" r:id="rId12"/>
    <sheet name="C10" sheetId="13" r:id="rId13"/>
    <sheet name="C11" sheetId="14" r:id="rId14"/>
    <sheet name="C12" sheetId="15" r:id="rId15"/>
    <sheet name="C13" sheetId="16" r:id="rId16"/>
    <sheet name="C14" sheetId="17" r:id="rId17"/>
    <sheet name="C15" sheetId="18" r:id="rId18"/>
    <sheet name="C16A" sheetId="19" r:id="rId19"/>
    <sheet name="C16B" sheetId="20" r:id="rId20"/>
    <sheet name="C16C" sheetId="21" r:id="rId21"/>
  </sheets>
  <definedNames>
    <definedName name="_xlnm.Print_Area" localSheetId="7">'C6'!#REF!</definedName>
    <definedName name="tabla">'C10'!#REF!</definedName>
  </definedNames>
  <calcPr fullCalcOnLoad="1"/>
</workbook>
</file>

<file path=xl/sharedStrings.xml><?xml version="1.0" encoding="utf-8"?>
<sst xmlns="http://schemas.openxmlformats.org/spreadsheetml/2006/main" count="1173" uniqueCount="623">
  <si>
    <t>CUADRO 1</t>
  </si>
  <si>
    <t>CAPACIDAD INSTALADA Y UTILIZADA</t>
  </si>
  <si>
    <t>Valores Unitarios</t>
  </si>
  <si>
    <t>Primer Año</t>
  </si>
  <si>
    <t>Segundo Año</t>
  </si>
  <si>
    <t xml:space="preserve">  Capacidad instalada</t>
  </si>
  <si>
    <t xml:space="preserve">    en porcentaje</t>
  </si>
  <si>
    <t xml:space="preserve">  Capacidad utilizada</t>
  </si>
  <si>
    <t xml:space="preserve">  Pérdida en el proceso</t>
  </si>
  <si>
    <t xml:space="preserve">  Capacidad utilizada neta</t>
  </si>
  <si>
    <t xml:space="preserve">  Arena Lavada</t>
  </si>
  <si>
    <t>Código</t>
  </si>
  <si>
    <t>Descripción</t>
  </si>
  <si>
    <t>Costo de Embalaje</t>
  </si>
  <si>
    <t>Traslado a Pto. Italia</t>
  </si>
  <si>
    <t>Costo FOB Pto. Italiano</t>
  </si>
  <si>
    <t>Transporte y Seguro</t>
  </si>
  <si>
    <t>Costo CIF             Puerto Venezolano</t>
  </si>
  <si>
    <t>Costo de Aduana</t>
  </si>
  <si>
    <t>Transporte a Planta</t>
  </si>
  <si>
    <t>Costo Total en Planta</t>
  </si>
  <si>
    <t>US$</t>
  </si>
  <si>
    <t>Bs.</t>
  </si>
  <si>
    <t>Sistema de alimentación</t>
  </si>
  <si>
    <t>Alimentador vibratorio</t>
  </si>
  <si>
    <t>Chásis de sustentación</t>
  </si>
  <si>
    <t>Correa transportadora</t>
  </si>
  <si>
    <t>Cernidor vibratorio</t>
  </si>
  <si>
    <t>Recuperadora de material</t>
  </si>
  <si>
    <t>Unidad de fragmentación</t>
  </si>
  <si>
    <t>CUADRO 3</t>
  </si>
  <si>
    <t>PRIMER AÑO</t>
  </si>
  <si>
    <t>SEGUNDO AÑO</t>
  </si>
  <si>
    <t>Aporte Propio</t>
  </si>
  <si>
    <t>Aporte Total</t>
  </si>
  <si>
    <t>Activos Fijos</t>
  </si>
  <si>
    <t xml:space="preserve">  Obras civiles</t>
  </si>
  <si>
    <t>A</t>
  </si>
  <si>
    <t>Total Activos Fijos</t>
  </si>
  <si>
    <t>Otros Activos</t>
  </si>
  <si>
    <t xml:space="preserve">  Ingeniería del proyecto</t>
  </si>
  <si>
    <t xml:space="preserve">  Estudio de factibilidad</t>
  </si>
  <si>
    <t xml:space="preserve">  Varios</t>
  </si>
  <si>
    <t>B</t>
  </si>
  <si>
    <t>Total Otros Activos</t>
  </si>
  <si>
    <t>C</t>
  </si>
  <si>
    <t>TOTAL ACTIVOS (A+B)</t>
  </si>
  <si>
    <t>D</t>
  </si>
  <si>
    <t>Capital de Trabajo</t>
  </si>
  <si>
    <t>E</t>
  </si>
  <si>
    <t>CUADRO 4</t>
  </si>
  <si>
    <t>Años de Dep/Am</t>
  </si>
  <si>
    <t>Tercer   Año</t>
  </si>
  <si>
    <t>Cuarto   Año</t>
  </si>
  <si>
    <t>Sexto     Año</t>
  </si>
  <si>
    <t xml:space="preserve">  Equipo auxiliar</t>
  </si>
  <si>
    <t>Total Depreciación</t>
  </si>
  <si>
    <t>Amortización</t>
  </si>
  <si>
    <t xml:space="preserve">  Instalación y montaje</t>
  </si>
  <si>
    <t xml:space="preserve">  Pruebas en caliente</t>
  </si>
  <si>
    <t>Total Amortización</t>
  </si>
  <si>
    <t>CUADRO 5</t>
  </si>
  <si>
    <t>Desembolsos del Banco</t>
  </si>
  <si>
    <t>Pagos Semestrales de Amortización</t>
  </si>
  <si>
    <t>Porcentaje Semestral</t>
  </si>
  <si>
    <t>TOTALES</t>
  </si>
  <si>
    <t>Costo Mensual</t>
  </si>
  <si>
    <t>F/V</t>
  </si>
  <si>
    <t>No.</t>
  </si>
  <si>
    <t>Total</t>
  </si>
  <si>
    <t>Jefe de planta</t>
  </si>
  <si>
    <t>F</t>
  </si>
  <si>
    <t>Secretaria</t>
  </si>
  <si>
    <t>V</t>
  </si>
  <si>
    <t>Operador de planta</t>
  </si>
  <si>
    <t>Mecánico</t>
  </si>
  <si>
    <t>Operador de payloader</t>
  </si>
  <si>
    <t>Chofer de camión</t>
  </si>
  <si>
    <t>Ayudante</t>
  </si>
  <si>
    <t>Vigilante</t>
  </si>
  <si>
    <t>Gerentes y Directivos</t>
  </si>
  <si>
    <t>Empleados Comunes</t>
  </si>
  <si>
    <t>Personal Técnico</t>
  </si>
  <si>
    <t>Obreros Semiespecializados</t>
  </si>
  <si>
    <t>Obreros No Especializados</t>
  </si>
  <si>
    <t>Empleados Fijos</t>
  </si>
  <si>
    <t>Empleados Variables</t>
  </si>
  <si>
    <t>Prestaciones Sociales</t>
  </si>
  <si>
    <t>CUADRO 7</t>
  </si>
  <si>
    <t>MATERIA PRIMA</t>
  </si>
  <si>
    <t>Quinto    Año</t>
  </si>
  <si>
    <t xml:space="preserve">  Alquiler del terreno</t>
  </si>
  <si>
    <t xml:space="preserve">  Impuesto de extracción</t>
  </si>
  <si>
    <t>Costo Total de Extracción</t>
  </si>
  <si>
    <t>COSTO TOTAL DE MATERIA PRIMA</t>
  </si>
  <si>
    <t>CUADRO 8</t>
  </si>
  <si>
    <t>INGRESOS POR VENTAS</t>
  </si>
  <si>
    <t>Tercer      Año</t>
  </si>
  <si>
    <t>Cuarto       Año</t>
  </si>
  <si>
    <t>Quinto       Año</t>
  </si>
  <si>
    <t>Sexto        Año</t>
  </si>
  <si>
    <t>Ingresos por ventas</t>
  </si>
  <si>
    <t>INGRESOS TOTALES POR VENTAS</t>
  </si>
  <si>
    <t>CUADRO 9</t>
  </si>
  <si>
    <t>Gastos Fijos</t>
  </si>
  <si>
    <t xml:space="preserve">  Seguro Social Obligatorio</t>
  </si>
  <si>
    <t xml:space="preserve">  INCE</t>
  </si>
  <si>
    <t xml:space="preserve">  Ley de Política Habitacional</t>
  </si>
  <si>
    <t xml:space="preserve">  Ley de Paro Forzoso</t>
  </si>
  <si>
    <t xml:space="preserve">  Repuestos de mantenimiento</t>
  </si>
  <si>
    <t xml:space="preserve">  Comunicaciones</t>
  </si>
  <si>
    <t xml:space="preserve">  Seguros mercantiles</t>
  </si>
  <si>
    <t>TOTAL GASTOS FIJOS</t>
  </si>
  <si>
    <t>Gastos variables</t>
  </si>
  <si>
    <t>TOTAL GASTOS VARIABLES</t>
  </si>
  <si>
    <t>ESTADO DE RESULTADOS</t>
  </si>
  <si>
    <t>Valores Totales</t>
  </si>
  <si>
    <t>Primer     Año</t>
  </si>
  <si>
    <t>Tercer       Año</t>
  </si>
  <si>
    <t>Quinto      Año</t>
  </si>
  <si>
    <t xml:space="preserve">  Materia prima</t>
  </si>
  <si>
    <t xml:space="preserve">  Gastos de fabricación</t>
  </si>
  <si>
    <t xml:space="preserve">  Depreciación  y Amortización</t>
  </si>
  <si>
    <t xml:space="preserve">  Intereses crediticios</t>
  </si>
  <si>
    <t>CUADRO 11</t>
  </si>
  <si>
    <t>Cuarto      Año</t>
  </si>
  <si>
    <t>Insumos</t>
  </si>
  <si>
    <t>TOTAL INSUMOS</t>
  </si>
  <si>
    <t>Valor Agregado</t>
  </si>
  <si>
    <t xml:space="preserve">  Impuesto sobre la renta</t>
  </si>
  <si>
    <t xml:space="preserve">  Utilidad neta</t>
  </si>
  <si>
    <t>TOTAL VALOR AGREGADO</t>
  </si>
  <si>
    <t xml:space="preserve">  Depreciación y amortización</t>
  </si>
  <si>
    <t>INGRESOS POR VENTAS (C+D)</t>
  </si>
  <si>
    <t>CUADRO 12</t>
  </si>
  <si>
    <t>PUNTO DE EQUILIBRIO</t>
  </si>
  <si>
    <t>Costos Fijos</t>
  </si>
  <si>
    <t xml:space="preserve">  Materia Prima</t>
  </si>
  <si>
    <t>TOTAL COSTOS FIJOS</t>
  </si>
  <si>
    <t>Costos Variables</t>
  </si>
  <si>
    <t>TOTAL COSTOS VARIABLES</t>
  </si>
  <si>
    <t xml:space="preserve">  Impuestos sobre la renta</t>
  </si>
  <si>
    <t>Punto de Equilibrio por año</t>
  </si>
  <si>
    <t xml:space="preserve">  Expresado en:</t>
  </si>
  <si>
    <t xml:space="preserve">    Porcentaje</t>
  </si>
  <si>
    <t xml:space="preserve">    Ingresos por ventas</t>
  </si>
  <si>
    <t xml:space="preserve">    Meses por año</t>
  </si>
  <si>
    <t>Punto de Equilibrio promedio</t>
  </si>
  <si>
    <t xml:space="preserve">    Días laborables por año</t>
  </si>
  <si>
    <t xml:space="preserve">  Ingresos por ventas</t>
  </si>
  <si>
    <t>CUADRO 13</t>
  </si>
  <si>
    <t>Segundo   Año</t>
  </si>
  <si>
    <t>Tercer        Año</t>
  </si>
  <si>
    <t xml:space="preserve">  Aporte propio en activos</t>
  </si>
  <si>
    <t xml:space="preserve">  Aporte de terceros en activos</t>
  </si>
  <si>
    <t xml:space="preserve">  Capital de trabajo</t>
  </si>
  <si>
    <t>INGRESOS TOTALES</t>
  </si>
  <si>
    <t xml:space="preserve">  Inversión total en activos</t>
  </si>
  <si>
    <t xml:space="preserve">  Gastos de Fabricación</t>
  </si>
  <si>
    <t xml:space="preserve">  Amortización de intereses</t>
  </si>
  <si>
    <t xml:space="preserve">  Amortización de capital</t>
  </si>
  <si>
    <t>EGRESOS TOTALES</t>
  </si>
  <si>
    <t>SALDO DE CAJA</t>
  </si>
  <si>
    <t>CUADRO 14</t>
  </si>
  <si>
    <t>Valor mínimo de la serie</t>
  </si>
  <si>
    <t>CUADRO 15</t>
  </si>
  <si>
    <t>Tercer     Año</t>
  </si>
  <si>
    <t>Inversión Realizada</t>
  </si>
  <si>
    <t xml:space="preserve">  Inversión Total</t>
  </si>
  <si>
    <t>CUADRO 16A</t>
  </si>
  <si>
    <t>Tasa Interna de Retorno</t>
  </si>
  <si>
    <t>Propia</t>
  </si>
  <si>
    <t>CUADRO 16B</t>
  </si>
  <si>
    <t xml:space="preserve">  Tasa Interna de Retorno</t>
  </si>
  <si>
    <t xml:space="preserve">  Valor Presente Neto</t>
  </si>
  <si>
    <t>INVERSIÓN TOTAL</t>
  </si>
  <si>
    <t xml:space="preserve">  Fijo</t>
  </si>
  <si>
    <t xml:space="preserve">  Variable</t>
  </si>
  <si>
    <t>CUADRO 6F</t>
  </si>
  <si>
    <t>Costo Financiero del Crédito</t>
  </si>
  <si>
    <t>Distribución porcentual</t>
  </si>
  <si>
    <t>Semestre</t>
  </si>
  <si>
    <t>Totales</t>
  </si>
  <si>
    <t>Saldo de la Cuenta Capital</t>
  </si>
  <si>
    <t>Pagos       Totales</t>
  </si>
  <si>
    <t>Pagos de    Capital</t>
  </si>
  <si>
    <t>Pagos de Intereses</t>
  </si>
  <si>
    <t>Año</t>
  </si>
  <si>
    <t xml:space="preserve">     semestres 11 y 12</t>
  </si>
  <si>
    <t xml:space="preserve">     semestres  1 y 2</t>
  </si>
  <si>
    <t xml:space="preserve">     semestres  3 y 4</t>
  </si>
  <si>
    <t xml:space="preserve">     semestres  5 y 6</t>
  </si>
  <si>
    <t xml:space="preserve">     semestres  7 y 8</t>
  </si>
  <si>
    <t xml:space="preserve">     semestres  9 y 10</t>
  </si>
  <si>
    <t xml:space="preserve">     semestre de gracia</t>
  </si>
  <si>
    <t xml:space="preserve">     pago semestral 1</t>
  </si>
  <si>
    <t xml:space="preserve">     pago semestral 2</t>
  </si>
  <si>
    <t xml:space="preserve">     pago semestral 3</t>
  </si>
  <si>
    <t xml:space="preserve">     pago semestral 4</t>
  </si>
  <si>
    <t xml:space="preserve">     pago semestral 5</t>
  </si>
  <si>
    <t xml:space="preserve">     pago semestral 6</t>
  </si>
  <si>
    <t xml:space="preserve">     pago semestral 7</t>
  </si>
  <si>
    <t xml:space="preserve">     pago semestral 8</t>
  </si>
  <si>
    <t>Sexto         Año</t>
  </si>
  <si>
    <t>Sexto               Año</t>
  </si>
  <si>
    <t xml:space="preserve">   Materia prima</t>
  </si>
  <si>
    <t xml:space="preserve">   Materiales y repuestos</t>
  </si>
  <si>
    <t xml:space="preserve">     Repuestos de mantenimiento</t>
  </si>
  <si>
    <t xml:space="preserve">   Servicios para la producción</t>
  </si>
  <si>
    <t xml:space="preserve">   Servicios administrativos</t>
  </si>
  <si>
    <t xml:space="preserve">     Seguros mercantiles</t>
  </si>
  <si>
    <t xml:space="preserve">     Comunicaciones</t>
  </si>
  <si>
    <t xml:space="preserve">   Varios</t>
  </si>
  <si>
    <t xml:space="preserve">   Tierra</t>
  </si>
  <si>
    <t xml:space="preserve">     Alquiler de terreno</t>
  </si>
  <si>
    <t xml:space="preserve">   Trabajo</t>
  </si>
  <si>
    <t xml:space="preserve">     Seguro Social Obligatorio</t>
  </si>
  <si>
    <t xml:space="preserve">   Capital</t>
  </si>
  <si>
    <t xml:space="preserve">     Intereses crediticios</t>
  </si>
  <si>
    <t xml:space="preserve">   Empresario</t>
  </si>
  <si>
    <t xml:space="preserve">     Utilidad neta</t>
  </si>
  <si>
    <t xml:space="preserve">   Estado</t>
  </si>
  <si>
    <t xml:space="preserve">     INCE</t>
  </si>
  <si>
    <t xml:space="preserve">     Ley de Política Habitacional</t>
  </si>
  <si>
    <t xml:space="preserve">     Ley de Paro Forzoso</t>
  </si>
  <si>
    <t xml:space="preserve">     Impuesto de extracción</t>
  </si>
  <si>
    <t xml:space="preserve">     Impuesto sobre la renta</t>
  </si>
  <si>
    <t>Salario Básico</t>
  </si>
  <si>
    <t>Descripción del Cargo</t>
  </si>
  <si>
    <t>Nómina</t>
  </si>
  <si>
    <t xml:space="preserve">C o s t o    A n u a l </t>
  </si>
  <si>
    <t>Costo Anual de Nómina</t>
  </si>
  <si>
    <t>Costo Anual Total</t>
  </si>
  <si>
    <t>Aporte    Total</t>
  </si>
  <si>
    <t>Colector de polvo y agua</t>
  </si>
  <si>
    <t>Separador de polvo y agua</t>
  </si>
  <si>
    <t>Motobomba</t>
  </si>
  <si>
    <t>Tuberías de alimentación y desagüe</t>
  </si>
  <si>
    <t xml:space="preserve">    Pozos sépticos</t>
  </si>
  <si>
    <t>CUADRO 2A</t>
  </si>
  <si>
    <t>Obras civiles:</t>
  </si>
  <si>
    <t>Equipo auxiliar</t>
  </si>
  <si>
    <t xml:space="preserve">    Compresor de aire</t>
  </si>
  <si>
    <t xml:space="preserve">    Fresadora</t>
  </si>
  <si>
    <t xml:space="preserve">    Montacargas móvil</t>
  </si>
  <si>
    <t>Ingeniería del proyecto</t>
  </si>
  <si>
    <t xml:space="preserve">    Estudio de suelos</t>
  </si>
  <si>
    <t xml:space="preserve">    Levantamiento topográfico</t>
  </si>
  <si>
    <t>Instalaciones eléctricas:</t>
  </si>
  <si>
    <t xml:space="preserve">    Transformadores</t>
  </si>
  <si>
    <t xml:space="preserve">    Tendido eléctrico</t>
  </si>
  <si>
    <t xml:space="preserve">    Iluminación periférica</t>
  </si>
  <si>
    <t>CUADRO 2B</t>
  </si>
  <si>
    <t xml:space="preserve">    Galpón</t>
  </si>
  <si>
    <t xml:space="preserve">  Instalaciones eléctricas</t>
  </si>
  <si>
    <t xml:space="preserve">  Mob. y equipo de oficina</t>
  </si>
  <si>
    <t xml:space="preserve">    Equipo de herramientas</t>
  </si>
  <si>
    <t>Unidad Utilizada</t>
  </si>
  <si>
    <t xml:space="preserve">    Cerca ciclón</t>
  </si>
  <si>
    <t xml:space="preserve"> hectárea</t>
  </si>
  <si>
    <t xml:space="preserve">    Galpón de taller mecánico</t>
  </si>
  <si>
    <t xml:space="preserve">    Galpón de vestuarios y aseos</t>
  </si>
  <si>
    <t xml:space="preserve">    Galpón de oficinas</t>
  </si>
  <si>
    <t>Base de Cálculos</t>
  </si>
  <si>
    <t>ELEMENTOS DE INFRAESTRUCTURA Y</t>
  </si>
  <si>
    <t>ESTRUCTURA</t>
  </si>
  <si>
    <t>ESTUDIOS Y PROYECTOS</t>
  </si>
  <si>
    <t>CUADRO 2C</t>
  </si>
  <si>
    <t>metro3</t>
  </si>
  <si>
    <t>metro</t>
  </si>
  <si>
    <t>metro2</t>
  </si>
  <si>
    <t>Costo    Total</t>
  </si>
  <si>
    <t>Valor de los Activos</t>
  </si>
  <si>
    <t>RESUMEN DE LOS COSTOS FIJOS Y VARIABLES</t>
  </si>
  <si>
    <t xml:space="preserve">Costo Anual    Total </t>
  </si>
  <si>
    <t xml:space="preserve">  Costo financiero del crédito</t>
  </si>
  <si>
    <t>Segundo        Año</t>
  </si>
  <si>
    <t>Segundo           Año</t>
  </si>
  <si>
    <t>Total Segundo Año</t>
  </si>
  <si>
    <t>Aporte         Total</t>
  </si>
  <si>
    <t xml:space="preserve">  Mobiliario y equipo de oficina</t>
  </si>
  <si>
    <t>Costo Unitario</t>
  </si>
  <si>
    <t xml:space="preserve">    Equipo de soldadura</t>
  </si>
  <si>
    <t xml:space="preserve">    Gato hidraúlico</t>
  </si>
  <si>
    <t>Monto de la Inversión</t>
  </si>
  <si>
    <t>Valores originales de la Inversión y de la TIR</t>
  </si>
  <si>
    <t>Original</t>
  </si>
  <si>
    <t>Modificado</t>
  </si>
  <si>
    <t xml:space="preserve">  Energía eléctrica</t>
  </si>
  <si>
    <t xml:space="preserve">  Combustibles</t>
  </si>
  <si>
    <t xml:space="preserve">     Energía eléctrica</t>
  </si>
  <si>
    <t xml:space="preserve">     Combustibles</t>
  </si>
  <si>
    <t xml:space="preserve">    Torno </t>
  </si>
  <si>
    <t>Montos Entregados</t>
  </si>
  <si>
    <t>Costo por Intereses</t>
  </si>
  <si>
    <t>Apertura</t>
  </si>
  <si>
    <t>Compromiso</t>
  </si>
  <si>
    <t>Costo por Comisiones</t>
  </si>
  <si>
    <t xml:space="preserve">  Instalaciones civiles</t>
  </si>
  <si>
    <t>Instalaciones civiles:</t>
  </si>
  <si>
    <t>Camión</t>
  </si>
  <si>
    <t>Payloader</t>
  </si>
  <si>
    <t>Total M y E importados</t>
  </si>
  <si>
    <t>Total Maquinaria  y Equipos de producción nacionales</t>
  </si>
  <si>
    <t xml:space="preserve">    Terreno</t>
  </si>
  <si>
    <t>hectárea</t>
  </si>
  <si>
    <t xml:space="preserve">  Impuestos y patentes</t>
  </si>
  <si>
    <t xml:space="preserve">     Impuestos y patentes</t>
  </si>
  <si>
    <t xml:space="preserve">  2) Tasa de cambio: bolívares por US$</t>
  </si>
  <si>
    <t>Costo del equipo auxiliar</t>
  </si>
  <si>
    <t>Costo de la ingeniería del proyecto</t>
  </si>
  <si>
    <t>Costo del estudio de factibilidad</t>
  </si>
  <si>
    <t>Costo de las obras civiles</t>
  </si>
  <si>
    <t>Costo de las instalaciones civiles</t>
  </si>
  <si>
    <t>Costo de las instalaciones eléctricas</t>
  </si>
  <si>
    <t>Número de empleados</t>
  </si>
  <si>
    <t>FINANCIAMIENTO DE TERCEROS</t>
  </si>
  <si>
    <t xml:space="preserve">    Losa de anclaje de la maquinaria</t>
  </si>
  <si>
    <t>Cód.</t>
  </si>
  <si>
    <t>FASE 2: OPERACIÓN DE LA PLANTA - PERÍODO DE AMORTIZACIÓN DEL CRÉDITO</t>
  </si>
  <si>
    <t>Anualización de los pagos semestrales de amortización</t>
  </si>
  <si>
    <t>FASE 1: CONSTRUCCIÓN E INSTALACIÓN DE LA PLANTA - PERÍODO DE RECEPCIÓN DEL CRÉDITO</t>
  </si>
  <si>
    <t xml:space="preserve">  Artículos de oficina</t>
  </si>
  <si>
    <t xml:space="preserve">  Seguridad industrial</t>
  </si>
  <si>
    <t>Instalación civil y eléctrica de la motobomba y de la tubería de alimentación y desagüe</t>
  </si>
  <si>
    <t xml:space="preserve">     Artículos de oficina</t>
  </si>
  <si>
    <t xml:space="preserve">     Seguridad industrial</t>
  </si>
  <si>
    <t>Cambio de magnitud de los parámetros seleccionados</t>
  </si>
  <si>
    <t>Valor del parámetro</t>
  </si>
  <si>
    <t>Determinación del entorno de variación de los parámetros seleccionados para una TIR Total igual a cero</t>
  </si>
  <si>
    <t>período de recepción del crédito</t>
  </si>
  <si>
    <t>período de amortización del crédito</t>
  </si>
  <si>
    <t xml:space="preserve">  Inversión Total   (A+B)</t>
  </si>
  <si>
    <t>RENTABILIDAD DEL NEGOCIO</t>
  </si>
  <si>
    <t>Flujo Neto de Fondos</t>
  </si>
  <si>
    <t xml:space="preserve">  Saldo de Caja</t>
  </si>
  <si>
    <t>RENTABILIDAD DEL PROMOTOR</t>
  </si>
  <si>
    <t xml:space="preserve">  Inversión  Propia</t>
  </si>
  <si>
    <t xml:space="preserve">  Inversión Propia   (A+B)</t>
  </si>
  <si>
    <t>CÁLCULO DEL CAPITAL DE TRABAJO</t>
  </si>
  <si>
    <t>INVERSIÓN PROPIA</t>
  </si>
  <si>
    <t>Quinto        Año</t>
  </si>
  <si>
    <t>Correas transportadoras</t>
  </si>
  <si>
    <t xml:space="preserve">  Productos para la venta</t>
  </si>
  <si>
    <t xml:space="preserve">    Arena Lavada</t>
  </si>
  <si>
    <t xml:space="preserve">    en m3 por día</t>
  </si>
  <si>
    <t xml:space="preserve">    en m3 por año</t>
  </si>
  <si>
    <t xml:space="preserve">    Unidades de producción</t>
  </si>
  <si>
    <t>VOLUMEN DE PRODUCCIÓN  (m3)</t>
  </si>
  <si>
    <t>PRODUCCIÓN TOTAL (m3)</t>
  </si>
  <si>
    <t>MAQUINARIA Y EQUIPOS DE PRODUCCIÓN</t>
  </si>
  <si>
    <t>TOTAL MAQUINARIA Y EQUIPOS DE PRODUCCIÓN</t>
  </si>
  <si>
    <t>DEPRECIACIÓN Y AMORTIZACIÓN</t>
  </si>
  <si>
    <t>Depreciación</t>
  </si>
  <si>
    <t>TOTAL DEPREC. Y AMORTIZACIÓN</t>
  </si>
  <si>
    <t>VOLUMEN DE PRODUCCIÓN (m3)</t>
  </si>
  <si>
    <t>Costo de Extracción por m3</t>
  </si>
  <si>
    <t>GASTOS DE FABRICACIÓN</t>
  </si>
  <si>
    <t>ESTRUCTURA DEL VALOR DE LA PRODUCCIÓN</t>
  </si>
  <si>
    <t>VALOR DE LA PRODUCCIÓN (A+B)</t>
  </si>
  <si>
    <t>RENTABILIDAD DE LA INVERSIÓN</t>
  </si>
  <si>
    <t>NÓMINA</t>
  </si>
  <si>
    <t xml:space="preserve">  Nómina</t>
  </si>
  <si>
    <t xml:space="preserve">     Nómina</t>
  </si>
  <si>
    <t>Costo del mob. y equipo de oficina</t>
  </si>
  <si>
    <t>Balance      Inicial</t>
  </si>
  <si>
    <t>Balance       Inicial</t>
  </si>
  <si>
    <t>Balance        Final</t>
  </si>
  <si>
    <t>Primer    Año</t>
  </si>
  <si>
    <t>Quinto     Año</t>
  </si>
  <si>
    <t>Sexto      Año</t>
  </si>
  <si>
    <t>Segundo     Año</t>
  </si>
  <si>
    <t>G</t>
  </si>
  <si>
    <t>Utilidad de producción (A-B)</t>
  </si>
  <si>
    <t>COSTOS TOTALES (F+V)</t>
  </si>
  <si>
    <t>Ingresos por inversión</t>
  </si>
  <si>
    <t>Ingresos operacionales</t>
  </si>
  <si>
    <t>Egresos por inversión</t>
  </si>
  <si>
    <t>Egresos fiscales</t>
  </si>
  <si>
    <t>ORIGEN DE FONDOS</t>
  </si>
  <si>
    <t>APLICACIÓN DE FONDOS</t>
  </si>
  <si>
    <t>Egresos por gastos financieros</t>
  </si>
  <si>
    <t>Egresos por pasivos por pagar</t>
  </si>
  <si>
    <t>Unidades      Totales</t>
  </si>
  <si>
    <t>Aporte de Terceros</t>
  </si>
  <si>
    <t>CUADRO 10</t>
  </si>
  <si>
    <t>SALDO DE CAJA ACUMULADO</t>
  </si>
  <si>
    <t>Costo de ventas</t>
  </si>
  <si>
    <t>Egresos por costo de ventas</t>
  </si>
  <si>
    <t xml:space="preserve">  3) Tasa de interés anual nominal</t>
  </si>
  <si>
    <t xml:space="preserve">  4) Costo del kw</t>
  </si>
  <si>
    <t>GASTOS TOTALES (F+V)</t>
  </si>
  <si>
    <t>Parámetros inflacionarios</t>
  </si>
  <si>
    <t>Parámetros de mercado</t>
  </si>
  <si>
    <t>Parámetros técnicos</t>
  </si>
  <si>
    <t>Parámetros laborales</t>
  </si>
  <si>
    <t>Parámetros fiscales</t>
  </si>
  <si>
    <t>Parámetros socio-políticos</t>
  </si>
  <si>
    <t xml:space="preserve">  6) Precio de venta de la Arena Lavada</t>
  </si>
  <si>
    <t xml:space="preserve">  7) Porcentaje de capacidad utilizada 2do. Año</t>
  </si>
  <si>
    <t xml:space="preserve">  8) Incremento anual de la capacidad utilizada</t>
  </si>
  <si>
    <t xml:space="preserve">  9) Pérdida promedio en el proceso</t>
  </si>
  <si>
    <t>10) Porcentaje de piedra picada</t>
  </si>
  <si>
    <t>11) Días laborables por mes</t>
  </si>
  <si>
    <t>12) Incremento anual por productividad</t>
  </si>
  <si>
    <t>15) Porcentaje de prestaciones sociales</t>
  </si>
  <si>
    <t>16) Costo del impuesto de extracción</t>
  </si>
  <si>
    <t>13) Valor de la unidad tributaria</t>
  </si>
  <si>
    <t>14) Aporte al Seguro Social Obligatorio</t>
  </si>
  <si>
    <t>Tasa de Costo de Capital</t>
  </si>
  <si>
    <t>Clasificación por Categorías</t>
  </si>
  <si>
    <t>Utilidad antes de impuestos (E-F)</t>
  </si>
  <si>
    <t>H</t>
  </si>
  <si>
    <t>I</t>
  </si>
  <si>
    <t>UTILIDAD NETA (G+H)</t>
  </si>
  <si>
    <t xml:space="preserve"> del 100% de cualquier variable</t>
  </si>
  <si>
    <t xml:space="preserve"> mt3 de material producido y vendido</t>
  </si>
  <si>
    <t xml:space="preserve"> bolívares de ingresos por ventas</t>
  </si>
  <si>
    <t xml:space="preserve"> meses de producción y venta en el año</t>
  </si>
  <si>
    <t xml:space="preserve"> días laborables de producción y venta en el año</t>
  </si>
  <si>
    <t xml:space="preserve">    Piedra Picada Lavada</t>
  </si>
  <si>
    <t xml:space="preserve">  Piedra Picada Lavada</t>
  </si>
  <si>
    <t>Parámetros de ingresos</t>
  </si>
  <si>
    <t xml:space="preserve">  5) Precio de venta de la Piedra Picada Lavada</t>
  </si>
  <si>
    <t>APORTE AL PIB (expresado en %)</t>
  </si>
  <si>
    <t>B/C</t>
  </si>
  <si>
    <t xml:space="preserve">  Pagos a los factores de producción </t>
  </si>
  <si>
    <t xml:space="preserve">    Porcentaje promedio</t>
  </si>
  <si>
    <t>A/C</t>
  </si>
  <si>
    <t xml:space="preserve">  Pagos a los proveedores de Insumos</t>
  </si>
  <si>
    <t xml:space="preserve">    Nivelación de terreno y urbanismo</t>
  </si>
  <si>
    <t>Euros</t>
  </si>
  <si>
    <t>Balance Final</t>
  </si>
  <si>
    <t>CUADRO 16C</t>
  </si>
  <si>
    <t>Determinación de una TIR negativa sobre la inversión total por acumulación de parámetros</t>
  </si>
  <si>
    <t>Empleados Totales</t>
  </si>
  <si>
    <t>Número de Empleados</t>
  </si>
  <si>
    <t xml:space="preserve">  Gerentes y Directivos</t>
  </si>
  <si>
    <t xml:space="preserve">  Empleados Comunes</t>
  </si>
  <si>
    <t xml:space="preserve">  Personal Técnico</t>
  </si>
  <si>
    <t xml:space="preserve">  Obreros Semiespecializados</t>
  </si>
  <si>
    <t xml:space="preserve">  Obreros No Especializados</t>
  </si>
  <si>
    <t>Clasificación Porcentual</t>
  </si>
  <si>
    <t>FLUJO DE FONDOS</t>
  </si>
  <si>
    <t xml:space="preserve">  1) Tasa de cambio: euros por US$</t>
  </si>
  <si>
    <t>Variación</t>
  </si>
  <si>
    <t>Rangos de</t>
  </si>
  <si>
    <t>Parámetros</t>
  </si>
  <si>
    <t>Mts.3 de capacidad instalada por día</t>
  </si>
  <si>
    <t>de la capacidad total de la empresa</t>
  </si>
  <si>
    <t xml:space="preserve">Porcentaje de cap.instalada por año </t>
  </si>
  <si>
    <t>de la capacidad instalada</t>
  </si>
  <si>
    <t>de incremento anual</t>
  </si>
  <si>
    <t>días laborables por año</t>
  </si>
  <si>
    <t>meses por año</t>
  </si>
  <si>
    <t>días laborables del mes</t>
  </si>
  <si>
    <t>turno de trabajo por día</t>
  </si>
  <si>
    <t>de arena lavada producida del material neto extraído</t>
  </si>
  <si>
    <t>de piedra picada lavada producida del material neto extraído</t>
  </si>
  <si>
    <t xml:space="preserve"> metros cúbicos por día</t>
  </si>
  <si>
    <t>de pérdida de material bruto extraído</t>
  </si>
  <si>
    <t>Porcentaje cap.utilizada 2do.ano</t>
  </si>
  <si>
    <t>Incremento anual de la cap.utilizada</t>
  </si>
  <si>
    <t>Perdida promedio en el proceso</t>
  </si>
  <si>
    <t>Porcentaje de piedra picada lavada</t>
  </si>
  <si>
    <t>turnos de trabajo diario</t>
  </si>
  <si>
    <t>Porcentaje arena lavada</t>
  </si>
  <si>
    <t>Días laborables por mes</t>
  </si>
  <si>
    <t>Meses por año</t>
  </si>
  <si>
    <t>Tasas de cambio utilizadas</t>
  </si>
  <si>
    <t>1 euro</t>
  </si>
  <si>
    <t>1 US$</t>
  </si>
  <si>
    <t>centavos de US$</t>
  </si>
  <si>
    <t>costo de embalaje</t>
  </si>
  <si>
    <t>Traslado a Puerto de Italia</t>
  </si>
  <si>
    <t>Costo de aduana</t>
  </si>
  <si>
    <t>Trans. Terrestre a planta</t>
  </si>
  <si>
    <t>del costo en planta Italia</t>
  </si>
  <si>
    <t>del costo FOB en puerto italiano</t>
  </si>
  <si>
    <t>bolívares por dólar</t>
  </si>
  <si>
    <t>Trans. marítimo y seguros</t>
  </si>
  <si>
    <t>del costo CIF en puerto venezolano</t>
  </si>
  <si>
    <t>Porcentaje de gastos varios</t>
  </si>
  <si>
    <t xml:space="preserve">meses </t>
  </si>
  <si>
    <t>del valor total de a maquinaria y equipos importados</t>
  </si>
  <si>
    <t>Costo de pruebas en caliente</t>
  </si>
  <si>
    <t>Costos de Instalación y montaje</t>
  </si>
  <si>
    <t xml:space="preserve">  Máq.. y equipos importados</t>
  </si>
  <si>
    <t xml:space="preserve">  Máq.. y equipos nacionales</t>
  </si>
  <si>
    <t>INVERSIÓN TOTAL (C+D)</t>
  </si>
  <si>
    <t>El método de calculo utilizado es el de línea recta sin valor de salvamento</t>
  </si>
  <si>
    <t>sobre saldo</t>
  </si>
  <si>
    <t>Periodo de gracia</t>
  </si>
  <si>
    <t>semestres</t>
  </si>
  <si>
    <t>sobre el saldo pendiente de retiro del banco</t>
  </si>
  <si>
    <t>Monto del Crédito</t>
  </si>
  <si>
    <t>bolívares</t>
  </si>
  <si>
    <t>Tasa de interés anual nominal</t>
  </si>
  <si>
    <t>Tasa de interés semestral efectiva</t>
  </si>
  <si>
    <t>Comisión de apertura</t>
  </si>
  <si>
    <t>sobre el monto del crédito</t>
  </si>
  <si>
    <t>Comisión de compromiso</t>
  </si>
  <si>
    <t>Periodo de vigencia del crédito</t>
  </si>
  <si>
    <t>Periodo de construcción</t>
  </si>
  <si>
    <t>Periodo de amortización</t>
  </si>
  <si>
    <t>TERCER AÑO</t>
  </si>
  <si>
    <t>CUADRO 6B</t>
  </si>
  <si>
    <t>CUADRO 6A</t>
  </si>
  <si>
    <t>del costo total mensual o anual</t>
  </si>
  <si>
    <t>Inc.Anual por productividad</t>
  </si>
  <si>
    <t xml:space="preserve">sobre el sueldo básico del año anterior </t>
  </si>
  <si>
    <t>CUADRO 6C</t>
  </si>
  <si>
    <t>CUARTO AÑO</t>
  </si>
  <si>
    <t>CUADRO 6D</t>
  </si>
  <si>
    <t>QUINTO AÑO</t>
  </si>
  <si>
    <t>CUADRO 6E</t>
  </si>
  <si>
    <t>SEXTO AÑO</t>
  </si>
  <si>
    <t>Costos de alquiler del terreno</t>
  </si>
  <si>
    <t>Incremento anual del alquiler del terreno</t>
  </si>
  <si>
    <t>bolívares por m3 de material bruto extraído</t>
  </si>
  <si>
    <t>Costos por impuestos de extracción</t>
  </si>
  <si>
    <t>sobre el costo de extracción por m3 del año anterior</t>
  </si>
  <si>
    <t>Incremento anual del impuesto de extracción</t>
  </si>
  <si>
    <t xml:space="preserve"> Precio de venta</t>
  </si>
  <si>
    <t>bolívares por m3 vendido</t>
  </si>
  <si>
    <t>Piedra Picada Lavada</t>
  </si>
  <si>
    <t>Arena Lavada</t>
  </si>
  <si>
    <t>Seguro social obligatorio</t>
  </si>
  <si>
    <t>INCE</t>
  </si>
  <si>
    <t>Ley de Paro Forzoso</t>
  </si>
  <si>
    <t>Comunicaciones</t>
  </si>
  <si>
    <t>Repuestos de Mantenimiento</t>
  </si>
  <si>
    <t>Combustible</t>
  </si>
  <si>
    <t xml:space="preserve">  costo por litro</t>
  </si>
  <si>
    <t>Seguridad Industrial</t>
  </si>
  <si>
    <t>Seguros Mercantiles</t>
  </si>
  <si>
    <t>Impuestos y Patentes</t>
  </si>
  <si>
    <t>Varios</t>
  </si>
  <si>
    <t>Incremento Anual</t>
  </si>
  <si>
    <t>Porcentaje de gastos fijos</t>
  </si>
  <si>
    <t>Porcentaje de gastos variables</t>
  </si>
  <si>
    <t>Capacidad utilizada neta</t>
  </si>
  <si>
    <t>del costo anual de la nomina</t>
  </si>
  <si>
    <t>del total de activos fijos</t>
  </si>
  <si>
    <t>de los ingresos totales</t>
  </si>
  <si>
    <t>sobre el costo del año anterior ( todas las cuentas menos las relacionadas</t>
  </si>
  <si>
    <t>con el volumen de ocupación y los ingresos totales )</t>
  </si>
  <si>
    <t>del total de gastos del reglan</t>
  </si>
  <si>
    <t>días laborables por mes</t>
  </si>
  <si>
    <t>Ley de Políticas Habitacionales</t>
  </si>
  <si>
    <t>bolívares mensuales</t>
  </si>
  <si>
    <t>Artículos de Oficina</t>
  </si>
  <si>
    <t>del total de equipo auxiliar y maquinaria y equipos de producción</t>
  </si>
  <si>
    <t>Energía Eléctrica</t>
  </si>
  <si>
    <t>bolívares mensuales ( consumo de acuerdo a la capacidad utilizada )</t>
  </si>
  <si>
    <t xml:space="preserve">  consumo por día</t>
  </si>
  <si>
    <t>Kwh. por día</t>
  </si>
  <si>
    <t xml:space="preserve">  costo por Kw.</t>
  </si>
  <si>
    <t>bolívares por Kwh.</t>
  </si>
  <si>
    <t>litros por día</t>
  </si>
  <si>
    <t>bolívares por litro</t>
  </si>
  <si>
    <t xml:space="preserve">  numero de vehículos</t>
  </si>
  <si>
    <t>vehículos</t>
  </si>
  <si>
    <t>del total de gastos del reglón</t>
  </si>
  <si>
    <t>Datos Adicionales</t>
  </si>
  <si>
    <t>Escala Tributaria</t>
  </si>
  <si>
    <t>Base Impositiva</t>
  </si>
  <si>
    <t>Tasa a Pagar</t>
  </si>
  <si>
    <t>Deducible</t>
  </si>
  <si>
    <t>Desde 0 hasta 2.000 Uds. Tributarias</t>
  </si>
  <si>
    <t>Entre 2.000 y 3.000 Uds. Tributarias</t>
  </si>
  <si>
    <t xml:space="preserve">     140 Uds.Tributarias</t>
  </si>
  <si>
    <t>Sobre 3.000 Uds. Tributarias</t>
  </si>
  <si>
    <t xml:space="preserve">     500 Uds.Tributarias</t>
  </si>
  <si>
    <t>Valor de la Unidad Tributaria</t>
  </si>
  <si>
    <t>Ingreso x ventas</t>
  </si>
  <si>
    <t>Mes Uno</t>
  </si>
  <si>
    <t>Mes Dos</t>
  </si>
  <si>
    <t xml:space="preserve">Mes Tres     </t>
  </si>
  <si>
    <t>Mes Cuatro</t>
  </si>
  <si>
    <t>Mes Cinco</t>
  </si>
  <si>
    <t>Mes Seis</t>
  </si>
  <si>
    <t>Mes Siete</t>
  </si>
  <si>
    <t xml:space="preserve">Mes Ocho   </t>
  </si>
  <si>
    <t>Mes Nueve</t>
  </si>
  <si>
    <t>Mes Diez</t>
  </si>
  <si>
    <t>Mes Once</t>
  </si>
  <si>
    <t>Mes Doce</t>
  </si>
  <si>
    <t>Mes Trece</t>
  </si>
  <si>
    <t>Mes Catorce</t>
  </si>
  <si>
    <t>Mes Quince</t>
  </si>
  <si>
    <t>Nómina acreencia sin crédito se ejecuta en el mes en que se produce</t>
  </si>
  <si>
    <t>Gastos de fabricación se cancela a mes vencido, por lo que comienza en el mes dos</t>
  </si>
  <si>
    <t>Amortización de interese según el financiamiento de terceros el pago de interese se realiza al final de cada semestre (6 y 12 del primer año de operaciones)</t>
  </si>
  <si>
    <t>Amortización de capital existe 1 año de gracia por lo que no se ha reflejado</t>
  </si>
  <si>
    <t>Impuesto sobre la renta se paga anticipadamente en dozavos partiendo del mes 1</t>
  </si>
  <si>
    <t>Utilidad antes de int./imp. (C-D)</t>
  </si>
  <si>
    <t>Ingresos  por venta</t>
  </si>
  <si>
    <t>Días laborables por año</t>
  </si>
  <si>
    <t xml:space="preserve">Aporte propio en activos se ejecuta todo en el primer mes </t>
  </si>
  <si>
    <t xml:space="preserve">Aporte de terceros en activos se ejecuta todo en el primer mes </t>
  </si>
  <si>
    <t>Ingresos x ventas las operaciones de producción, venta y cobranza consumen los tres primeros meses del año</t>
  </si>
  <si>
    <t xml:space="preserve">Inversión total en activos se ejecutan en el primer mes </t>
  </si>
  <si>
    <t xml:space="preserve">Materia prima </t>
  </si>
  <si>
    <t>se liquida y se paga a los 60 días</t>
  </si>
  <si>
    <t>Costo Total</t>
  </si>
  <si>
    <t>del total de activos fijos adquiridos en cada año de inversión</t>
  </si>
  <si>
    <t>mes del costo anual de materia prima del 1" año de operación</t>
  </si>
  <si>
    <t>Tercer Año</t>
  </si>
  <si>
    <t>Cuarto Año</t>
  </si>
  <si>
    <t>Quinto  Año</t>
  </si>
  <si>
    <t>Sexto   Año</t>
  </si>
  <si>
    <t>Sexto  Año</t>
  </si>
  <si>
    <t>Tercer  Año</t>
  </si>
  <si>
    <t>Quinto   Año</t>
  </si>
  <si>
    <t>Cuarto    Año</t>
  </si>
  <si>
    <t>Tercer    Año</t>
  </si>
  <si>
    <t>Segundo  Año</t>
  </si>
  <si>
    <t>Costo Total en Planta de Italia</t>
  </si>
  <si>
    <t>Parametros</t>
  </si>
  <si>
    <t xml:space="preserve">ANÁLISIS DE SENSIBILIDAD                            FASE 1 </t>
  </si>
  <si>
    <t>ANÁLISIS DE SENSIBILIDAD                            FASE 2</t>
  </si>
  <si>
    <t>ANÁLISIS DE SENSIBILIDAD                            FASE 3</t>
  </si>
</sst>
</file>

<file path=xl/styles.xml><?xml version="1.0" encoding="utf-8"?>
<styleSheet xmlns="http://schemas.openxmlformats.org/spreadsheetml/2006/main">
  <numFmts count="29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[Red]#,##0"/>
    <numFmt numFmtId="169" formatCode="#,##0_ ;[Red]\-#,##0\ "/>
    <numFmt numFmtId="170" formatCode="#,##0.0"/>
    <numFmt numFmtId="171" formatCode="0.0%"/>
    <numFmt numFmtId="172" formatCode="#,##0.00;[Red]#,##0.00"/>
    <numFmt numFmtId="173" formatCode="0.000%"/>
    <numFmt numFmtId="174" formatCode="_-* #,##0\ _P_t_s_-;\-* #,##0\ _P_t_s_-;_-* &quot;-&quot;??\ _P_t_s_-;_-@_-"/>
    <numFmt numFmtId="175" formatCode="_-* #,##0.000\ _P_t_s_-;\-* #,##0.000\ _P_t_s_-;_-* &quot;-&quot;??\ _P_t_s_-;_-@_-"/>
    <numFmt numFmtId="176" formatCode="#,##0.000"/>
    <numFmt numFmtId="177" formatCode="0.0000%"/>
    <numFmt numFmtId="178" formatCode="_-* #,##0.0000\ _P_t_s_-;\-* #,##0.0000\ _P_t_s_-;_-* &quot;-&quot;??\ _P_t_s_-;_-@_-"/>
    <numFmt numFmtId="179" formatCode="_-* #,##0.00000\ _P_t_s_-;\-* #,##0.00000\ _P_t_s_-;_-* &quot;-&quot;??\ _P_t_s_-;_-@_-"/>
    <numFmt numFmtId="180" formatCode="_-* #,##0.000000\ _P_t_s_-;\-* #,##0.000000\ _P_t_s_-;_-* &quot;-&quot;??\ _P_t_s_-;_-@_-"/>
    <numFmt numFmtId="181" formatCode="_-* #,##0.0000000\ _P_t_s_-;\-* #,##0.0000000\ _P_t_s_-;_-* &quot;-&quot;??\ _P_t_s_-;_-@_-"/>
    <numFmt numFmtId="182" formatCode="_-* #,##0.00000000\ _P_t_s_-;\-* #,##0.00000000\ _P_t_s_-;_-* &quot;-&quot;??\ _P_t_s_-;_-@_-"/>
    <numFmt numFmtId="183" formatCode="0.00000%"/>
    <numFmt numFmtId="184" formatCode="0.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Futura Lt BT"/>
      <family val="2"/>
    </font>
    <font>
      <sz val="10"/>
      <name val="Futura Lt BT"/>
      <family val="2"/>
    </font>
    <font>
      <b/>
      <sz val="10"/>
      <name val="Futura Lt BT"/>
      <family val="2"/>
    </font>
    <font>
      <sz val="10"/>
      <color indexed="18"/>
      <name val="Futura Lt BT"/>
      <family val="2"/>
    </font>
    <font>
      <b/>
      <sz val="10"/>
      <color indexed="18"/>
      <name val="Futura Lt BT"/>
      <family val="2"/>
    </font>
    <font>
      <b/>
      <sz val="16"/>
      <name val="Futura Lt BT"/>
      <family val="2"/>
    </font>
    <font>
      <sz val="16"/>
      <name val="Futura Lt BT"/>
      <family val="2"/>
    </font>
    <font>
      <b/>
      <sz val="12"/>
      <name val="Futura Lt BT"/>
      <family val="2"/>
    </font>
    <font>
      <sz val="10"/>
      <color indexed="62"/>
      <name val="Futura Lt BT"/>
      <family val="2"/>
    </font>
    <font>
      <b/>
      <sz val="10"/>
      <color indexed="17"/>
      <name val="Futura Lt BT"/>
      <family val="2"/>
    </font>
    <font>
      <sz val="10"/>
      <color indexed="17"/>
      <name val="Futura Lt BT"/>
      <family val="2"/>
    </font>
    <font>
      <b/>
      <sz val="10"/>
      <color indexed="62"/>
      <name val="Futura Lt BT"/>
      <family val="2"/>
    </font>
    <font>
      <b/>
      <sz val="11"/>
      <color indexed="17"/>
      <name val="Futura Lt BT"/>
      <family val="2"/>
    </font>
    <font>
      <b/>
      <sz val="16"/>
      <color indexed="17"/>
      <name val="Futura Lt BT"/>
      <family val="2"/>
    </font>
    <font>
      <b/>
      <sz val="11"/>
      <color indexed="62"/>
      <name val="Futura Lt BT"/>
      <family val="2"/>
    </font>
    <font>
      <b/>
      <sz val="18"/>
      <color indexed="17"/>
      <name val="Futura Lt BT"/>
      <family val="2"/>
    </font>
    <font>
      <sz val="16"/>
      <color indexed="17"/>
      <name val="Futura Lt BT"/>
      <family val="2"/>
    </font>
    <font>
      <sz val="10"/>
      <color indexed="58"/>
      <name val="Futura Lt BT"/>
      <family val="2"/>
    </font>
    <font>
      <b/>
      <sz val="12"/>
      <color indexed="17"/>
      <name val="Futura Lt BT"/>
      <family val="2"/>
    </font>
    <font>
      <b/>
      <sz val="10"/>
      <color indexed="12"/>
      <name val="Futura Lt BT"/>
      <family val="2"/>
    </font>
    <font>
      <sz val="10"/>
      <color indexed="12"/>
      <name val="Futura Lt BT"/>
      <family val="2"/>
    </font>
    <font>
      <b/>
      <sz val="10"/>
      <color indexed="62"/>
      <name val="Futura Md BT"/>
      <family val="2"/>
    </font>
    <font>
      <sz val="10"/>
      <color indexed="10"/>
      <name val="Futura Lt BT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Alignment="1">
      <alignment horizontal="justify"/>
    </xf>
    <xf numFmtId="168" fontId="5" fillId="0" borderId="0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Continuous" vertical="center" wrapText="1"/>
    </xf>
    <xf numFmtId="168" fontId="6" fillId="0" borderId="0" xfId="0" applyNumberFormat="1" applyFont="1" applyAlignment="1">
      <alignment vertical="center"/>
    </xf>
    <xf numFmtId="168" fontId="5" fillId="0" borderId="0" xfId="0" applyNumberFormat="1" applyFont="1" applyAlignment="1">
      <alignment wrapText="1"/>
    </xf>
    <xf numFmtId="168" fontId="5" fillId="0" borderId="0" xfId="0" applyNumberFormat="1" applyFont="1" applyBorder="1" applyAlignment="1">
      <alignment wrapText="1"/>
    </xf>
    <xf numFmtId="168" fontId="5" fillId="0" borderId="0" xfId="0" applyNumberFormat="1" applyFont="1" applyBorder="1" applyAlignment="1">
      <alignment horizontal="right" wrapText="1"/>
    </xf>
    <xf numFmtId="168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 wrapText="1"/>
    </xf>
    <xf numFmtId="168" fontId="7" fillId="0" borderId="0" xfId="0" applyNumberFormat="1" applyFont="1" applyBorder="1" applyAlignment="1">
      <alignment horizontal="right" wrapText="1"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 horizontal="right" wrapText="1"/>
    </xf>
    <xf numFmtId="167" fontId="7" fillId="0" borderId="0" xfId="15" applyFont="1" applyAlignment="1">
      <alignment horizontal="left"/>
    </xf>
    <xf numFmtId="167" fontId="7" fillId="0" borderId="0" xfId="15" applyFont="1" applyBorder="1" applyAlignment="1">
      <alignment/>
    </xf>
    <xf numFmtId="167" fontId="7" fillId="0" borderId="0" xfId="15" applyFont="1" applyAlignment="1">
      <alignment/>
    </xf>
    <xf numFmtId="167" fontId="7" fillId="0" borderId="0" xfId="15" applyFont="1" applyAlignment="1">
      <alignment horizontal="right" wrapText="1"/>
    </xf>
    <xf numFmtId="168" fontId="5" fillId="0" borderId="0" xfId="0" applyNumberFormat="1" applyFont="1" applyBorder="1" applyAlignment="1">
      <alignment horizontal="justify" vertical="center"/>
    </xf>
    <xf numFmtId="167" fontId="7" fillId="0" borderId="0" xfId="15" applyFont="1" applyAlignment="1">
      <alignment horizontal="left" vertical="center"/>
    </xf>
    <xf numFmtId="167" fontId="7" fillId="0" borderId="0" xfId="15" applyFont="1" applyAlignment="1">
      <alignment horizontal="right" vertical="center" wrapText="1"/>
    </xf>
    <xf numFmtId="167" fontId="7" fillId="0" borderId="2" xfId="15" applyFont="1" applyBorder="1" applyAlignment="1">
      <alignment vertical="center"/>
    </xf>
    <xf numFmtId="168" fontId="5" fillId="0" borderId="0" xfId="0" applyNumberFormat="1" applyFont="1" applyBorder="1" applyAlignment="1">
      <alignment horizontal="right" vertical="center" wrapText="1"/>
    </xf>
    <xf numFmtId="167" fontId="7" fillId="0" borderId="0" xfId="15" applyFont="1" applyBorder="1" applyAlignment="1">
      <alignment horizontal="right" wrapText="1"/>
    </xf>
    <xf numFmtId="167" fontId="7" fillId="0" borderId="2" xfId="15" applyFont="1" applyBorder="1" applyAlignment="1">
      <alignment/>
    </xf>
    <xf numFmtId="167" fontId="7" fillId="0" borderId="2" xfId="15" applyFont="1" applyBorder="1" applyAlignment="1">
      <alignment horizontal="right" wrapText="1"/>
    </xf>
    <xf numFmtId="167" fontId="7" fillId="0" borderId="0" xfId="15" applyFont="1" applyBorder="1" applyAlignment="1">
      <alignment vertical="center"/>
    </xf>
    <xf numFmtId="167" fontId="8" fillId="0" borderId="3" xfId="15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 wrapText="1"/>
    </xf>
    <xf numFmtId="168" fontId="6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 wrapText="1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6" fillId="0" borderId="2" xfId="0" applyNumberFormat="1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67" fontId="8" fillId="0" borderId="5" xfId="15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7" fontId="7" fillId="0" borderId="0" xfId="15" applyFont="1" applyAlignment="1">
      <alignment vertical="center"/>
    </xf>
    <xf numFmtId="167" fontId="8" fillId="0" borderId="0" xfId="15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6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7" fontId="6" fillId="0" borderId="0" xfId="15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Continuous" vertical="center"/>
    </xf>
    <xf numFmtId="3" fontId="7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Continuous" vertical="center"/>
    </xf>
    <xf numFmtId="3" fontId="6" fillId="0" borderId="1" xfId="0" applyNumberFormat="1" applyFont="1" applyBorder="1" applyAlignment="1">
      <alignment horizontal="centerContinuous" vertical="center"/>
    </xf>
    <xf numFmtId="3" fontId="6" fillId="0" borderId="1" xfId="0" applyNumberFormat="1" applyFont="1" applyBorder="1" applyAlignment="1">
      <alignment horizontal="centerContinuous" vertical="center" wrapText="1"/>
    </xf>
    <xf numFmtId="3" fontId="6" fillId="0" borderId="0" xfId="0" applyNumberFormat="1" applyFont="1" applyBorder="1" applyAlignment="1">
      <alignment horizontal="centerContinuous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10" fontId="7" fillId="0" borderId="0" xfId="0" applyNumberFormat="1" applyFont="1" applyAlignment="1">
      <alignment vertical="center"/>
    </xf>
    <xf numFmtId="10" fontId="7" fillId="0" borderId="0" xfId="0" applyNumberFormat="1" applyFont="1" applyBorder="1" applyAlignment="1">
      <alignment vertical="center"/>
    </xf>
    <xf numFmtId="170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justify"/>
    </xf>
    <xf numFmtId="0" fontId="5" fillId="0" borderId="0" xfId="0" applyFont="1" applyBorder="1" applyAlignment="1">
      <alignment/>
    </xf>
    <xf numFmtId="165" fontId="5" fillId="0" borderId="0" xfId="16" applyFont="1" applyBorder="1" applyAlignment="1">
      <alignment horizontal="justify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center"/>
    </xf>
    <xf numFmtId="167" fontId="5" fillId="0" borderId="0" xfId="15" applyFont="1" applyAlignment="1">
      <alignment horizontal="left"/>
    </xf>
    <xf numFmtId="167" fontId="5" fillId="0" borderId="2" xfId="15" applyFont="1" applyBorder="1" applyAlignment="1">
      <alignment horizontal="left"/>
    </xf>
    <xf numFmtId="3" fontId="6" fillId="0" borderId="0" xfId="0" applyNumberFormat="1" applyFont="1" applyAlignment="1">
      <alignment horizontal="justify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7" fontId="6" fillId="0" borderId="3" xfId="15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justify"/>
    </xf>
    <xf numFmtId="167" fontId="5" fillId="0" borderId="0" xfId="15" applyFont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167" fontId="5" fillId="0" borderId="2" xfId="15" applyFont="1" applyBorder="1" applyAlignment="1">
      <alignment horizontal="left" wrapText="1"/>
    </xf>
    <xf numFmtId="167" fontId="6" fillId="0" borderId="3" xfId="15" applyFont="1" applyBorder="1" applyAlignment="1">
      <alignment horizontal="left" vertical="center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8" fillId="0" borderId="1" xfId="15" applyFont="1" applyBorder="1" applyAlignment="1">
      <alignment horizontal="centerContinuous" vertical="center"/>
    </xf>
    <xf numFmtId="167" fontId="8" fillId="0" borderId="1" xfId="15" applyFont="1" applyBorder="1" applyAlignment="1">
      <alignment horizontal="center" vertical="center" wrapText="1"/>
    </xf>
    <xf numFmtId="167" fontId="7" fillId="0" borderId="0" xfId="15" applyFont="1" applyAlignment="1">
      <alignment horizontal="centerContinuous"/>
    </xf>
    <xf numFmtId="167" fontId="7" fillId="0" borderId="0" xfId="15" applyFont="1" applyAlignment="1">
      <alignment horizontal="centerContinuous" vertical="center"/>
    </xf>
    <xf numFmtId="167" fontId="5" fillId="0" borderId="0" xfId="15" applyFont="1" applyAlignment="1">
      <alignment/>
    </xf>
    <xf numFmtId="167" fontId="5" fillId="0" borderId="0" xfId="15" applyFont="1" applyBorder="1" applyAlignment="1">
      <alignment/>
    </xf>
    <xf numFmtId="10" fontId="7" fillId="0" borderId="4" xfId="0" applyNumberFormat="1" applyFont="1" applyBorder="1" applyAlignment="1">
      <alignment/>
    </xf>
    <xf numFmtId="10" fontId="7" fillId="0" borderId="2" xfId="0" applyNumberFormat="1" applyFont="1" applyBorder="1" applyAlignment="1">
      <alignment/>
    </xf>
    <xf numFmtId="10" fontId="8" fillId="0" borderId="3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167" fontId="6" fillId="0" borderId="0" xfId="15" applyFont="1" applyAlignment="1">
      <alignment/>
    </xf>
    <xf numFmtId="167" fontId="6" fillId="0" borderId="0" xfId="15" applyFont="1" applyBorder="1" applyAlignment="1">
      <alignment/>
    </xf>
    <xf numFmtId="167" fontId="6" fillId="0" borderId="1" xfId="15" applyFont="1" applyBorder="1" applyAlignment="1">
      <alignment horizontal="centerContinuous" vertical="center"/>
    </xf>
    <xf numFmtId="167" fontId="6" fillId="0" borderId="4" xfId="15" applyFont="1" applyBorder="1" applyAlignment="1">
      <alignment horizontal="centerContinuous" vertical="center"/>
    </xf>
    <xf numFmtId="167" fontId="6" fillId="0" borderId="0" xfId="15" applyFont="1" applyAlignment="1">
      <alignment vertical="center"/>
    </xf>
    <xf numFmtId="167" fontId="6" fillId="0" borderId="1" xfId="15" applyFont="1" applyBorder="1" applyAlignment="1">
      <alignment horizontal="center" vertical="center" wrapText="1"/>
    </xf>
    <xf numFmtId="167" fontId="6" fillId="0" borderId="4" xfId="15" applyFont="1" applyBorder="1" applyAlignment="1">
      <alignment horizontal="center" vertical="center" wrapText="1"/>
    </xf>
    <xf numFmtId="167" fontId="6" fillId="0" borderId="0" xfId="15" applyFont="1" applyBorder="1" applyAlignment="1">
      <alignment vertical="center" wrapText="1"/>
    </xf>
    <xf numFmtId="167" fontId="5" fillId="0" borderId="0" xfId="15" applyFont="1" applyAlignment="1">
      <alignment vertical="center"/>
    </xf>
    <xf numFmtId="167" fontId="6" fillId="0" borderId="2" xfId="15" applyFont="1" applyBorder="1" applyAlignment="1">
      <alignment/>
    </xf>
    <xf numFmtId="3" fontId="11" fillId="0" borderId="0" xfId="0" applyNumberFormat="1" applyFont="1" applyAlignment="1">
      <alignment horizontal="centerContinuous" vertical="center"/>
    </xf>
    <xf numFmtId="168" fontId="8" fillId="0" borderId="4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10" fontId="8" fillId="0" borderId="5" xfId="0" applyNumberFormat="1" applyFont="1" applyBorder="1" applyAlignment="1">
      <alignment vertical="center"/>
    </xf>
    <xf numFmtId="168" fontId="5" fillId="0" borderId="0" xfId="0" applyNumberFormat="1" applyFont="1" applyAlignment="1">
      <alignment horizontal="right"/>
    </xf>
    <xf numFmtId="10" fontId="7" fillId="0" borderId="0" xfId="19" applyNumberFormat="1" applyFont="1" applyAlignment="1">
      <alignment/>
    </xf>
    <xf numFmtId="3" fontId="7" fillId="0" borderId="0" xfId="19" applyNumberFormat="1" applyFont="1" applyAlignment="1">
      <alignment/>
    </xf>
    <xf numFmtId="168" fontId="7" fillId="0" borderId="0" xfId="0" applyNumberFormat="1" applyFont="1" applyBorder="1" applyAlignment="1">
      <alignment vertical="center"/>
    </xf>
    <xf numFmtId="168" fontId="7" fillId="0" borderId="2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168" fontId="8" fillId="0" borderId="3" xfId="0" applyNumberFormat="1" applyFont="1" applyBorder="1" applyAlignment="1">
      <alignment vertical="center"/>
    </xf>
    <xf numFmtId="168" fontId="7" fillId="0" borderId="2" xfId="0" applyNumberFormat="1" applyFont="1" applyBorder="1" applyAlignment="1">
      <alignment/>
    </xf>
    <xf numFmtId="168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168" fontId="7" fillId="0" borderId="0" xfId="0" applyNumberFormat="1" applyFont="1" applyAlignment="1">
      <alignment wrapText="1"/>
    </xf>
    <xf numFmtId="168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3" fontId="7" fillId="0" borderId="2" xfId="19" applyNumberFormat="1" applyFont="1" applyBorder="1" applyAlignment="1">
      <alignment/>
    </xf>
    <xf numFmtId="168" fontId="5" fillId="0" borderId="0" xfId="0" applyNumberFormat="1" applyFont="1" applyBorder="1" applyAlignment="1">
      <alignment horizontal="justify"/>
    </xf>
    <xf numFmtId="3" fontId="8" fillId="0" borderId="0" xfId="0" applyNumberFormat="1" applyFont="1" applyAlignment="1">
      <alignment/>
    </xf>
    <xf numFmtId="168" fontId="5" fillId="0" borderId="0" xfId="0" applyNumberFormat="1" applyFont="1" applyAlignment="1">
      <alignment vertical="center"/>
    </xf>
    <xf numFmtId="168" fontId="8" fillId="0" borderId="5" xfId="0" applyNumberFormat="1" applyFont="1" applyBorder="1" applyAlignment="1">
      <alignment horizontal="right" vertical="center" wrapText="1"/>
    </xf>
    <xf numFmtId="168" fontId="8" fillId="0" borderId="5" xfId="0" applyNumberFormat="1" applyFont="1" applyBorder="1" applyAlignment="1">
      <alignment vertical="center"/>
    </xf>
    <xf numFmtId="168" fontId="8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168" fontId="8" fillId="0" borderId="0" xfId="0" applyNumberFormat="1" applyFont="1" applyBorder="1" applyAlignment="1">
      <alignment vertic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 wrapText="1"/>
    </xf>
    <xf numFmtId="10" fontId="5" fillId="0" borderId="0" xfId="19" applyNumberFormat="1" applyFont="1" applyAlignment="1">
      <alignment/>
    </xf>
    <xf numFmtId="10" fontId="6" fillId="0" borderId="0" xfId="19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168" fontId="7" fillId="0" borderId="2" xfId="0" applyNumberFormat="1" applyFont="1" applyBorder="1" applyAlignment="1">
      <alignment/>
    </xf>
    <xf numFmtId="10" fontId="7" fillId="0" borderId="0" xfId="19" applyNumberFormat="1" applyFont="1" applyAlignment="1">
      <alignment/>
    </xf>
    <xf numFmtId="1" fontId="7" fillId="0" borderId="0" xfId="19" applyNumberFormat="1" applyFont="1" applyAlignment="1">
      <alignment/>
    </xf>
    <xf numFmtId="1" fontId="5" fillId="0" borderId="0" xfId="19" applyNumberFormat="1" applyFont="1" applyAlignment="1">
      <alignment/>
    </xf>
    <xf numFmtId="0" fontId="5" fillId="0" borderId="0" xfId="19" applyNumberFormat="1" applyFont="1" applyAlignment="1">
      <alignment/>
    </xf>
    <xf numFmtId="3" fontId="7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centerContinuous"/>
    </xf>
    <xf numFmtId="3" fontId="8" fillId="0" borderId="1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/>
    </xf>
    <xf numFmtId="3" fontId="8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3" fontId="7" fillId="0" borderId="7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0" fontId="8" fillId="0" borderId="0" xfId="19" applyNumberFormat="1" applyFont="1" applyAlignment="1">
      <alignment vertical="center"/>
    </xf>
    <xf numFmtId="10" fontId="5" fillId="0" borderId="0" xfId="19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 vertical="center"/>
    </xf>
    <xf numFmtId="169" fontId="6" fillId="0" borderId="0" xfId="0" applyNumberFormat="1" applyFont="1" applyAlignment="1">
      <alignment vertical="center"/>
    </xf>
    <xf numFmtId="169" fontId="5" fillId="0" borderId="0" xfId="0" applyNumberFormat="1" applyFont="1" applyAlignment="1">
      <alignment/>
    </xf>
    <xf numFmtId="9" fontId="7" fillId="0" borderId="0" xfId="19" applyFont="1" applyAlignment="1">
      <alignment horizontal="right" wrapText="1"/>
    </xf>
    <xf numFmtId="9" fontId="7" fillId="0" borderId="0" xfId="19" applyFont="1" applyAlignment="1">
      <alignment horizontal="right"/>
    </xf>
    <xf numFmtId="1" fontId="7" fillId="0" borderId="0" xfId="15" applyNumberFormat="1" applyFont="1" applyAlignment="1">
      <alignment horizontal="right"/>
    </xf>
    <xf numFmtId="1" fontId="7" fillId="0" borderId="0" xfId="15" applyNumberFormat="1" applyFont="1" applyAlignment="1">
      <alignment horizontal="right" vertical="center"/>
    </xf>
    <xf numFmtId="174" fontId="7" fillId="0" borderId="0" xfId="15" applyNumberFormat="1" applyFont="1" applyAlignment="1">
      <alignment horizontal="right" wrapText="1"/>
    </xf>
    <xf numFmtId="174" fontId="7" fillId="0" borderId="2" xfId="15" applyNumberFormat="1" applyFont="1" applyBorder="1" applyAlignment="1">
      <alignment horizontal="right" vertical="center" wrapText="1"/>
    </xf>
    <xf numFmtId="174" fontId="7" fillId="0" borderId="2" xfId="15" applyNumberFormat="1" applyFont="1" applyBorder="1" applyAlignment="1">
      <alignment horizontal="right" wrapText="1"/>
    </xf>
    <xf numFmtId="174" fontId="8" fillId="0" borderId="3" xfId="15" applyNumberFormat="1" applyFont="1" applyBorder="1" applyAlignment="1">
      <alignment horizontal="right" vertical="center" wrapText="1"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3" fontId="7" fillId="0" borderId="2" xfId="15" applyNumberFormat="1" applyFont="1" applyBorder="1" applyAlignment="1">
      <alignment horizontal="right"/>
    </xf>
    <xf numFmtId="3" fontId="7" fillId="0" borderId="4" xfId="15" applyNumberFormat="1" applyFont="1" applyBorder="1" applyAlignment="1">
      <alignment horizontal="right" vertical="center"/>
    </xf>
    <xf numFmtId="3" fontId="7" fillId="0" borderId="0" xfId="15" applyNumberFormat="1" applyFont="1" applyBorder="1" applyAlignment="1">
      <alignment horizontal="right" vertical="center"/>
    </xf>
    <xf numFmtId="3" fontId="8" fillId="0" borderId="5" xfId="15" applyNumberFormat="1" applyFont="1" applyBorder="1" applyAlignment="1">
      <alignment horizontal="right" vertical="center"/>
    </xf>
    <xf numFmtId="3" fontId="7" fillId="0" borderId="0" xfId="15" applyNumberFormat="1" applyFont="1" applyAlignment="1">
      <alignment horizontal="right" vertical="center"/>
    </xf>
    <xf numFmtId="3" fontId="8" fillId="0" borderId="0" xfId="15" applyNumberFormat="1" applyFont="1" applyBorder="1" applyAlignment="1">
      <alignment horizontal="right" vertical="center"/>
    </xf>
    <xf numFmtId="3" fontId="7" fillId="0" borderId="0" xfId="15" applyNumberFormat="1" applyFont="1" applyAlignment="1">
      <alignment/>
    </xf>
    <xf numFmtId="3" fontId="7" fillId="0" borderId="0" xfId="15" applyNumberFormat="1" applyFont="1" applyAlignment="1">
      <alignment wrapText="1"/>
    </xf>
    <xf numFmtId="3" fontId="8" fillId="0" borderId="5" xfId="15" applyNumberFormat="1" applyFont="1" applyBorder="1" applyAlignment="1">
      <alignment vertical="center"/>
    </xf>
    <xf numFmtId="3" fontId="7" fillId="0" borderId="0" xfId="15" applyNumberFormat="1" applyFont="1" applyAlignment="1">
      <alignment vertical="center" wrapText="1"/>
    </xf>
    <xf numFmtId="3" fontId="7" fillId="0" borderId="0" xfId="15" applyNumberFormat="1" applyFont="1" applyBorder="1" applyAlignment="1">
      <alignment vertical="center"/>
    </xf>
    <xf numFmtId="3" fontId="8" fillId="0" borderId="0" xfId="15" applyNumberFormat="1" applyFont="1" applyBorder="1" applyAlignment="1">
      <alignment vertical="center"/>
    </xf>
    <xf numFmtId="3" fontId="7" fillId="0" borderId="0" xfId="15" applyNumberFormat="1" applyFont="1" applyBorder="1" applyAlignment="1">
      <alignment/>
    </xf>
    <xf numFmtId="3" fontId="8" fillId="0" borderId="6" xfId="15" applyNumberFormat="1" applyFont="1" applyBorder="1" applyAlignment="1">
      <alignment vertical="center"/>
    </xf>
    <xf numFmtId="3" fontId="7" fillId="0" borderId="0" xfId="15" applyNumberFormat="1" applyFont="1" applyAlignment="1">
      <alignment/>
    </xf>
    <xf numFmtId="3" fontId="7" fillId="0" borderId="0" xfId="15" applyNumberFormat="1" applyFont="1" applyBorder="1" applyAlignment="1">
      <alignment/>
    </xf>
    <xf numFmtId="3" fontId="7" fillId="0" borderId="4" xfId="15" applyNumberFormat="1" applyFont="1" applyBorder="1" applyAlignment="1">
      <alignment/>
    </xf>
    <xf numFmtId="3" fontId="7" fillId="0" borderId="2" xfId="15" applyNumberFormat="1" applyFont="1" applyBorder="1" applyAlignment="1">
      <alignment vertical="center"/>
    </xf>
    <xf numFmtId="3" fontId="7" fillId="0" borderId="0" xfId="15" applyNumberFormat="1" applyFont="1" applyAlignment="1" applyProtection="1">
      <alignment/>
      <protection locked="0"/>
    </xf>
    <xf numFmtId="3" fontId="8" fillId="0" borderId="3" xfId="15" applyNumberFormat="1" applyFont="1" applyBorder="1" applyAlignment="1">
      <alignment vertical="center"/>
    </xf>
    <xf numFmtId="3" fontId="8" fillId="0" borderId="3" xfId="15" applyNumberFormat="1" applyFont="1" applyBorder="1" applyAlignment="1">
      <alignment horizontal="center" vertical="center"/>
    </xf>
    <xf numFmtId="3" fontId="7" fillId="0" borderId="6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3" fontId="8" fillId="0" borderId="5" xfId="15" applyNumberFormat="1" applyFont="1" applyBorder="1" applyAlignment="1">
      <alignment horizontal="right" vertical="center" wrapText="1"/>
    </xf>
    <xf numFmtId="3" fontId="7" fillId="0" borderId="0" xfId="15" applyNumberFormat="1" applyFont="1" applyAlignment="1">
      <alignment horizontal="left"/>
    </xf>
    <xf numFmtId="3" fontId="7" fillId="0" borderId="0" xfId="15" applyNumberFormat="1" applyFont="1" applyAlignment="1">
      <alignment horizontal="left" wrapText="1"/>
    </xf>
    <xf numFmtId="3" fontId="7" fillId="0" borderId="2" xfId="15" applyNumberFormat="1" applyFont="1" applyBorder="1" applyAlignment="1">
      <alignment horizontal="left"/>
    </xf>
    <xf numFmtId="3" fontId="8" fillId="0" borderId="3" xfId="15" applyNumberFormat="1" applyFont="1" applyBorder="1" applyAlignment="1">
      <alignment horizontal="left" vertical="center" wrapText="1"/>
    </xf>
    <xf numFmtId="3" fontId="8" fillId="0" borderId="3" xfId="15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wrapText="1"/>
    </xf>
    <xf numFmtId="3" fontId="7" fillId="0" borderId="2" xfId="15" applyNumberFormat="1" applyFont="1" applyBorder="1" applyAlignment="1">
      <alignment/>
    </xf>
    <xf numFmtId="3" fontId="8" fillId="0" borderId="0" xfId="15" applyNumberFormat="1" applyFont="1" applyAlignment="1">
      <alignment vertical="center"/>
    </xf>
    <xf numFmtId="3" fontId="7" fillId="0" borderId="0" xfId="15" applyNumberFormat="1" applyFont="1" applyAlignment="1">
      <alignment vertical="center"/>
    </xf>
    <xf numFmtId="3" fontId="7" fillId="0" borderId="0" xfId="15" applyNumberFormat="1" applyFont="1" applyAlignment="1">
      <alignment horizontal="centerContinuous" vertical="center"/>
    </xf>
    <xf numFmtId="3" fontId="7" fillId="0" borderId="0" xfId="15" applyNumberFormat="1" applyFont="1" applyBorder="1" applyAlignment="1">
      <alignment horizontal="centerContinuous" vertical="center"/>
    </xf>
    <xf numFmtId="3" fontId="8" fillId="0" borderId="1" xfId="15" applyNumberFormat="1" applyFont="1" applyBorder="1" applyAlignment="1">
      <alignment horizontal="center" vertical="center" wrapText="1"/>
    </xf>
    <xf numFmtId="3" fontId="5" fillId="0" borderId="0" xfId="15" applyNumberFormat="1" applyFont="1" applyAlignment="1">
      <alignment/>
    </xf>
    <xf numFmtId="3" fontId="5" fillId="0" borderId="0" xfId="15" applyNumberFormat="1" applyFont="1" applyBorder="1" applyAlignment="1">
      <alignment/>
    </xf>
    <xf numFmtId="3" fontId="7" fillId="0" borderId="4" xfId="15" applyNumberFormat="1" applyFont="1" applyBorder="1" applyAlignment="1">
      <alignment vertical="center"/>
    </xf>
    <xf numFmtId="3" fontId="8" fillId="0" borderId="2" xfId="15" applyNumberFormat="1" applyFont="1" applyBorder="1" applyAlignment="1">
      <alignment vertical="center"/>
    </xf>
    <xf numFmtId="3" fontId="8" fillId="0" borderId="1" xfId="15" applyNumberFormat="1" applyFont="1" applyBorder="1" applyAlignment="1">
      <alignment horizontal="centerContinuous" vertical="center"/>
    </xf>
    <xf numFmtId="3" fontId="7" fillId="0" borderId="1" xfId="15" applyNumberFormat="1" applyFont="1" applyBorder="1" applyAlignment="1">
      <alignment horizontal="centerContinuous" vertical="center"/>
    </xf>
    <xf numFmtId="3" fontId="8" fillId="0" borderId="0" xfId="15" applyNumberFormat="1" applyFont="1" applyBorder="1" applyAlignment="1">
      <alignment horizontal="center" vertical="center" wrapText="1"/>
    </xf>
    <xf numFmtId="3" fontId="10" fillId="0" borderId="0" xfId="15" applyNumberFormat="1" applyFont="1" applyAlignment="1">
      <alignment/>
    </xf>
    <xf numFmtId="3" fontId="9" fillId="0" borderId="0" xfId="15" applyNumberFormat="1" applyFont="1" applyAlignment="1">
      <alignment horizontal="centerContinuous"/>
    </xf>
    <xf numFmtId="3" fontId="6" fillId="0" borderId="0" xfId="15" applyNumberFormat="1" applyFont="1" applyAlignment="1">
      <alignment/>
    </xf>
    <xf numFmtId="3" fontId="6" fillId="0" borderId="0" xfId="15" applyNumberFormat="1" applyFont="1" applyBorder="1" applyAlignment="1">
      <alignment/>
    </xf>
    <xf numFmtId="3" fontId="6" fillId="0" borderId="1" xfId="15" applyNumberFormat="1" applyFont="1" applyBorder="1" applyAlignment="1">
      <alignment horizontal="centerContinuous" vertical="center"/>
    </xf>
    <xf numFmtId="3" fontId="6" fillId="0" borderId="4" xfId="15" applyNumberFormat="1" applyFont="1" applyBorder="1" applyAlignment="1">
      <alignment horizontal="centerContinuous" vertical="center"/>
    </xf>
    <xf numFmtId="3" fontId="6" fillId="0" borderId="0" xfId="15" applyNumberFormat="1" applyFont="1" applyBorder="1" applyAlignment="1">
      <alignment vertical="center"/>
    </xf>
    <xf numFmtId="3" fontId="6" fillId="0" borderId="0" xfId="15" applyNumberFormat="1" applyFont="1" applyAlignment="1">
      <alignment vertical="center"/>
    </xf>
    <xf numFmtId="3" fontId="6" fillId="0" borderId="1" xfId="15" applyNumberFormat="1" applyFont="1" applyBorder="1" applyAlignment="1">
      <alignment horizontal="center" vertical="center" wrapText="1"/>
    </xf>
    <xf numFmtId="3" fontId="6" fillId="0" borderId="4" xfId="15" applyNumberFormat="1" applyFont="1" applyBorder="1" applyAlignment="1">
      <alignment horizontal="center" vertical="center" wrapText="1"/>
    </xf>
    <xf numFmtId="3" fontId="6" fillId="0" borderId="0" xfId="15" applyNumberFormat="1" applyFont="1" applyBorder="1" applyAlignment="1">
      <alignment vertical="center" wrapText="1"/>
    </xf>
    <xf numFmtId="3" fontId="5" fillId="0" borderId="0" xfId="15" applyNumberFormat="1" applyFont="1" applyAlignment="1">
      <alignment vertical="center"/>
    </xf>
    <xf numFmtId="3" fontId="6" fillId="0" borderId="2" xfId="15" applyNumberFormat="1" applyFont="1" applyBorder="1" applyAlignment="1">
      <alignment vertical="center"/>
    </xf>
    <xf numFmtId="3" fontId="5" fillId="0" borderId="1" xfId="15" applyNumberFormat="1" applyFont="1" applyBorder="1" applyAlignment="1">
      <alignment horizontal="centerContinuous" vertical="center"/>
    </xf>
    <xf numFmtId="3" fontId="5" fillId="0" borderId="2" xfId="15" applyNumberFormat="1" applyFont="1" applyBorder="1" applyAlignment="1">
      <alignment/>
    </xf>
    <xf numFmtId="3" fontId="6" fillId="0" borderId="0" xfId="15" applyNumberFormat="1" applyFont="1" applyBorder="1" applyAlignment="1">
      <alignment horizontal="center" vertical="center" wrapText="1"/>
    </xf>
    <xf numFmtId="3" fontId="6" fillId="0" borderId="2" xfId="15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5" applyNumberFormat="1" applyFont="1" applyAlignment="1">
      <alignment horizontal="right" wrapText="1"/>
    </xf>
    <xf numFmtId="3" fontId="7" fillId="0" borderId="0" xfId="0" applyNumberFormat="1" applyFont="1" applyAlignment="1">
      <alignment wrapText="1"/>
    </xf>
    <xf numFmtId="3" fontId="7" fillId="0" borderId="2" xfId="0" applyNumberFormat="1" applyFont="1" applyBorder="1" applyAlignment="1">
      <alignment wrapText="1"/>
    </xf>
    <xf numFmtId="3" fontId="7" fillId="0" borderId="2" xfId="15" applyNumberFormat="1" applyFont="1" applyBorder="1" applyAlignment="1">
      <alignment wrapText="1"/>
    </xf>
    <xf numFmtId="3" fontId="8" fillId="0" borderId="3" xfId="0" applyNumberFormat="1" applyFont="1" applyBorder="1" applyAlignment="1">
      <alignment vertical="center" wrapText="1"/>
    </xf>
    <xf numFmtId="3" fontId="8" fillId="0" borderId="3" xfId="15" applyNumberFormat="1" applyFont="1" applyBorder="1" applyAlignment="1">
      <alignment vertical="center" wrapText="1"/>
    </xf>
    <xf numFmtId="169" fontId="6" fillId="0" borderId="0" xfId="0" applyNumberFormat="1" applyFont="1" applyAlignment="1">
      <alignment/>
    </xf>
    <xf numFmtId="169" fontId="6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/>
    </xf>
    <xf numFmtId="3" fontId="6" fillId="0" borderId="0" xfId="0" applyNumberFormat="1" applyFont="1" applyFill="1" applyAlignment="1">
      <alignment vertical="center"/>
    </xf>
    <xf numFmtId="10" fontId="6" fillId="0" borderId="0" xfId="19" applyNumberFormat="1" applyFont="1" applyBorder="1" applyAlignment="1">
      <alignment vertical="center"/>
    </xf>
    <xf numFmtId="9" fontId="5" fillId="0" borderId="0" xfId="19" applyFont="1" applyAlignment="1">
      <alignment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0" fontId="5" fillId="0" borderId="0" xfId="19" applyNumberFormat="1" applyFont="1" applyBorder="1" applyAlignment="1">
      <alignment horizontal="center" vertical="center"/>
    </xf>
    <xf numFmtId="10" fontId="5" fillId="0" borderId="0" xfId="19" applyNumberFormat="1" applyFont="1" applyBorder="1" applyAlignment="1">
      <alignment/>
    </xf>
    <xf numFmtId="3" fontId="5" fillId="0" borderId="3" xfId="19" applyNumberFormat="1" applyFont="1" applyBorder="1" applyAlignment="1">
      <alignment/>
    </xf>
    <xf numFmtId="3" fontId="5" fillId="0" borderId="3" xfId="0" applyNumberFormat="1" applyFont="1" applyBorder="1" applyAlignment="1">
      <alignment vertical="center"/>
    </xf>
    <xf numFmtId="10" fontId="5" fillId="0" borderId="3" xfId="19" applyNumberFormat="1" applyFont="1" applyBorder="1" applyAlignment="1">
      <alignment horizontal="center" vertical="center"/>
    </xf>
    <xf numFmtId="10" fontId="5" fillId="0" borderId="0" xfId="19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168" fontId="14" fillId="0" borderId="0" xfId="0" applyNumberFormat="1" applyFont="1" applyAlignment="1">
      <alignment horizontal="centerContinuous" wrapText="1"/>
    </xf>
    <xf numFmtId="168" fontId="18" fillId="0" borderId="0" xfId="0" applyNumberFormat="1" applyFont="1" applyAlignment="1">
      <alignment horizontal="left"/>
    </xf>
    <xf numFmtId="10" fontId="12" fillId="0" borderId="0" xfId="0" applyNumberFormat="1" applyFont="1" applyAlignment="1">
      <alignment/>
    </xf>
    <xf numFmtId="168" fontId="13" fillId="0" borderId="0" xfId="0" applyNumberFormat="1" applyFont="1" applyAlignment="1">
      <alignment horizontal="left"/>
    </xf>
    <xf numFmtId="168" fontId="14" fillId="0" borderId="0" xfId="0" applyNumberFormat="1" applyFont="1" applyAlignment="1">
      <alignment horizontal="justify"/>
    </xf>
    <xf numFmtId="10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8" fontId="13" fillId="0" borderId="0" xfId="0" applyNumberFormat="1" applyFont="1" applyAlignment="1">
      <alignment horizontal="justify"/>
    </xf>
    <xf numFmtId="168" fontId="6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right" wrapText="1"/>
    </xf>
    <xf numFmtId="168" fontId="17" fillId="0" borderId="0" xfId="0" applyNumberFormat="1" applyFont="1" applyAlignment="1">
      <alignment horizontal="centerContinuous" vertical="center"/>
    </xf>
    <xf numFmtId="168" fontId="14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vertical="center"/>
    </xf>
    <xf numFmtId="3" fontId="19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7" fillId="0" borderId="0" xfId="0" applyNumberFormat="1" applyFont="1" applyAlignment="1">
      <alignment horizontal="centerContinuous" vertical="center"/>
    </xf>
    <xf numFmtId="3" fontId="19" fillId="0" borderId="0" xfId="0" applyNumberFormat="1" applyFont="1" applyAlignment="1">
      <alignment horizontal="centerContinuous" vertical="center"/>
    </xf>
    <xf numFmtId="3" fontId="14" fillId="0" borderId="0" xfId="0" applyNumberFormat="1" applyFont="1" applyAlignment="1">
      <alignment horizontal="centerContinuous" vertical="center"/>
    </xf>
    <xf numFmtId="3" fontId="20" fillId="0" borderId="0" xfId="0" applyNumberFormat="1" applyFont="1" applyAlignment="1">
      <alignment horizontal="centerContinuous" vertical="center"/>
    </xf>
    <xf numFmtId="3" fontId="6" fillId="0" borderId="4" xfId="0" applyNumberFormat="1" applyFont="1" applyBorder="1" applyAlignment="1">
      <alignment horizontal="centerContinuous" vertical="center" wrapText="1"/>
    </xf>
    <xf numFmtId="3" fontId="6" fillId="0" borderId="1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 horizontal="centerContinuous" vertical="center"/>
    </xf>
    <xf numFmtId="3" fontId="13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10" fontId="7" fillId="0" borderId="0" xfId="0" applyNumberFormat="1" applyFont="1" applyAlignment="1">
      <alignment/>
    </xf>
    <xf numFmtId="3" fontId="17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Continuous" vertical="center"/>
    </xf>
    <xf numFmtId="3" fontId="13" fillId="0" borderId="0" xfId="0" applyNumberFormat="1" applyFont="1" applyBorder="1" applyAlignment="1">
      <alignment horizontal="centerContinuous"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 horizontal="justify"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 horizontal="centerContinuous"/>
    </xf>
    <xf numFmtId="3" fontId="20" fillId="0" borderId="0" xfId="0" applyNumberFormat="1" applyFont="1" applyAlignment="1">
      <alignment horizontal="centerContinuous" wrapText="1"/>
    </xf>
    <xf numFmtId="3" fontId="17" fillId="0" borderId="0" xfId="0" applyNumberFormat="1" applyFont="1" applyAlignment="1">
      <alignment/>
    </xf>
    <xf numFmtId="3" fontId="14" fillId="0" borderId="0" xfId="15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7" fontId="12" fillId="0" borderId="0" xfId="15" applyFont="1" applyAlignment="1">
      <alignment/>
    </xf>
    <xf numFmtId="167" fontId="12" fillId="0" borderId="0" xfId="15" applyFont="1" applyBorder="1" applyAlignment="1">
      <alignment/>
    </xf>
    <xf numFmtId="167" fontId="20" fillId="0" borderId="0" xfId="15" applyFont="1" applyAlignment="1">
      <alignment/>
    </xf>
    <xf numFmtId="167" fontId="17" fillId="0" borderId="0" xfId="15" applyFont="1" applyAlignment="1">
      <alignment horizontal="centerContinuous"/>
    </xf>
    <xf numFmtId="167" fontId="14" fillId="0" borderId="0" xfId="15" applyFont="1" applyAlignment="1">
      <alignment/>
    </xf>
    <xf numFmtId="168" fontId="17" fillId="0" borderId="0" xfId="0" applyNumberFormat="1" applyFont="1" applyAlignment="1">
      <alignment vertical="center"/>
    </xf>
    <xf numFmtId="168" fontId="20" fillId="0" borderId="0" xfId="0" applyNumberFormat="1" applyFont="1" applyAlignment="1">
      <alignment/>
    </xf>
    <xf numFmtId="168" fontId="20" fillId="0" borderId="0" xfId="0" applyNumberFormat="1" applyFont="1" applyAlignment="1">
      <alignment horizontal="right" wrapText="1"/>
    </xf>
    <xf numFmtId="168" fontId="17" fillId="0" borderId="0" xfId="0" applyNumberFormat="1" applyFont="1" applyAlignment="1">
      <alignment horizontal="centerContinuous"/>
    </xf>
    <xf numFmtId="168" fontId="20" fillId="0" borderId="0" xfId="0" applyNumberFormat="1" applyFont="1" applyAlignment="1">
      <alignment horizontal="centerContinuous"/>
    </xf>
    <xf numFmtId="168" fontId="20" fillId="0" borderId="0" xfId="0" applyNumberFormat="1" applyFont="1" applyAlignment="1">
      <alignment horizontal="centerContinuous" wrapText="1"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0" fontId="7" fillId="0" borderId="0" xfId="0" applyNumberFormat="1" applyFont="1" applyAlignment="1">
      <alignment wrapText="1"/>
    </xf>
    <xf numFmtId="168" fontId="21" fillId="0" borderId="0" xfId="0" applyNumberFormat="1" applyFont="1" applyAlignment="1">
      <alignment horizontal="justify"/>
    </xf>
    <xf numFmtId="168" fontId="21" fillId="0" borderId="0" xfId="0" applyNumberFormat="1" applyFont="1" applyAlignment="1">
      <alignment/>
    </xf>
    <xf numFmtId="168" fontId="21" fillId="0" borderId="0" xfId="0" applyNumberFormat="1" applyFont="1" applyBorder="1" applyAlignment="1">
      <alignment/>
    </xf>
    <xf numFmtId="168" fontId="21" fillId="0" borderId="0" xfId="0" applyNumberFormat="1" applyFont="1" applyAlignment="1">
      <alignment horizontal="right" wrapText="1"/>
    </xf>
    <xf numFmtId="168" fontId="20" fillId="0" borderId="0" xfId="0" applyNumberFormat="1" applyFont="1" applyBorder="1" applyAlignment="1">
      <alignment horizontal="centerContinuous"/>
    </xf>
    <xf numFmtId="168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3" fillId="0" borderId="5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horizontal="centerContinuous" vertical="center"/>
    </xf>
    <xf numFmtId="169" fontId="17" fillId="0" borderId="0" xfId="0" applyNumberFormat="1" applyFont="1" applyAlignment="1">
      <alignment vertical="center"/>
    </xf>
    <xf numFmtId="169" fontId="20" fillId="0" borderId="0" xfId="0" applyNumberFormat="1" applyFont="1" applyAlignment="1">
      <alignment/>
    </xf>
    <xf numFmtId="169" fontId="17" fillId="0" borderId="0" xfId="0" applyNumberFormat="1" applyFont="1" applyAlignment="1">
      <alignment horizontal="centerContinuous"/>
    </xf>
    <xf numFmtId="169" fontId="20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vertical="center"/>
    </xf>
    <xf numFmtId="10" fontId="20" fillId="0" borderId="0" xfId="19" applyNumberFormat="1" applyFont="1" applyBorder="1" applyAlignment="1">
      <alignment vertical="center"/>
    </xf>
    <xf numFmtId="3" fontId="23" fillId="0" borderId="6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7" fillId="0" borderId="3" xfId="19" applyNumberFormat="1" applyFont="1" applyBorder="1" applyAlignment="1">
      <alignment/>
    </xf>
    <xf numFmtId="3" fontId="23" fillId="0" borderId="6" xfId="15" applyNumberFormat="1" applyFont="1" applyBorder="1" applyAlignment="1">
      <alignment vertical="center"/>
    </xf>
    <xf numFmtId="169" fontId="24" fillId="0" borderId="0" xfId="0" applyNumberFormat="1" applyFont="1" applyAlignment="1">
      <alignment/>
    </xf>
    <xf numFmtId="169" fontId="8" fillId="0" borderId="3" xfId="0" applyNumberFormat="1" applyFont="1" applyBorder="1" applyAlignment="1">
      <alignment horizontal="center" vertical="center" wrapText="1"/>
    </xf>
    <xf numFmtId="169" fontId="7" fillId="0" borderId="0" xfId="0" applyNumberFormat="1" applyFont="1" applyAlignment="1">
      <alignment/>
    </xf>
    <xf numFmtId="169" fontId="8" fillId="0" borderId="5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/>
    </xf>
    <xf numFmtId="169" fontId="7" fillId="0" borderId="2" xfId="0" applyNumberFormat="1" applyFont="1" applyBorder="1" applyAlignment="1">
      <alignment/>
    </xf>
    <xf numFmtId="169" fontId="8" fillId="0" borderId="3" xfId="0" applyNumberFormat="1" applyFont="1" applyBorder="1" applyAlignment="1">
      <alignment vertical="center"/>
    </xf>
    <xf numFmtId="169" fontId="8" fillId="0" borderId="6" xfId="0" applyNumberFormat="1" applyFont="1" applyBorder="1" applyAlignment="1">
      <alignment vertical="center"/>
    </xf>
    <xf numFmtId="10" fontId="25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/>
    </xf>
    <xf numFmtId="10" fontId="8" fillId="0" borderId="0" xfId="19" applyNumberFormat="1" applyFont="1" applyBorder="1" applyAlignment="1">
      <alignment vertical="center"/>
    </xf>
    <xf numFmtId="10" fontId="8" fillId="0" borderId="3" xfId="19" applyNumberFormat="1" applyFont="1" applyBorder="1" applyAlignment="1">
      <alignment vertical="center"/>
    </xf>
    <xf numFmtId="10" fontId="8" fillId="0" borderId="2" xfId="19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0" fontId="7" fillId="0" borderId="0" xfId="19" applyNumberFormat="1" applyFont="1" applyBorder="1" applyAlignment="1">
      <alignment horizontal="center" vertical="center"/>
    </xf>
    <xf numFmtId="10" fontId="7" fillId="0" borderId="0" xfId="19" applyNumberFormat="1" applyFont="1" applyBorder="1" applyAlignment="1">
      <alignment/>
    </xf>
    <xf numFmtId="1" fontId="7" fillId="0" borderId="0" xfId="19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10" fontId="7" fillId="0" borderId="3" xfId="19" applyNumberFormat="1" applyFont="1" applyBorder="1" applyAlignment="1">
      <alignment/>
    </xf>
    <xf numFmtId="10" fontId="7" fillId="0" borderId="3" xfId="19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9" fontId="7" fillId="0" borderId="0" xfId="19" applyFont="1" applyAlignment="1">
      <alignment/>
    </xf>
    <xf numFmtId="3" fontId="7" fillId="0" borderId="0" xfId="19" applyNumberFormat="1" applyFont="1" applyAlignment="1">
      <alignment horizontal="center"/>
    </xf>
    <xf numFmtId="10" fontId="7" fillId="0" borderId="0" xfId="19" applyNumberFormat="1" applyFont="1" applyAlignment="1">
      <alignment horizontal="center"/>
    </xf>
    <xf numFmtId="3" fontId="8" fillId="0" borderId="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0" fontId="8" fillId="0" borderId="0" xfId="19" applyNumberFormat="1" applyFont="1" applyAlignment="1">
      <alignment horizontal="right"/>
    </xf>
    <xf numFmtId="4" fontId="20" fillId="0" borderId="0" xfId="0" applyNumberFormat="1" applyFont="1" applyAlignment="1">
      <alignment horizontal="centerContinuous" vertical="center"/>
    </xf>
    <xf numFmtId="4" fontId="5" fillId="0" borderId="0" xfId="0" applyNumberFormat="1" applyFont="1" applyAlignment="1">
      <alignment horizontal="centerContinuous" vertical="center"/>
    </xf>
    <xf numFmtId="4" fontId="6" fillId="0" borderId="1" xfId="0" applyNumberFormat="1" applyFont="1" applyBorder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4" fontId="8" fillId="0" borderId="0" xfId="15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19" applyNumberFormat="1" applyFont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0" fontId="8" fillId="0" borderId="0" xfId="19" applyNumberFormat="1" applyFont="1" applyBorder="1" applyAlignment="1">
      <alignment horizontal="right"/>
    </xf>
    <xf numFmtId="176" fontId="8" fillId="0" borderId="0" xfId="15" applyNumberFormat="1" applyFont="1" applyAlignment="1">
      <alignment horizontal="right"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7" fontId="5" fillId="0" borderId="0" xfId="19" applyNumberFormat="1" applyFont="1" applyBorder="1" applyAlignment="1">
      <alignment/>
    </xf>
    <xf numFmtId="3" fontId="20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10" fontId="6" fillId="0" borderId="0" xfId="19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7" fontId="7" fillId="0" borderId="0" xfId="19" applyNumberFormat="1" applyFont="1" applyBorder="1" applyAlignment="1">
      <alignment/>
    </xf>
    <xf numFmtId="1" fontId="8" fillId="0" borderId="0" xfId="19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10" fontId="12" fillId="0" borderId="0" xfId="19" applyNumberFormat="1" applyFont="1" applyBorder="1" applyAlignment="1">
      <alignment horizontal="center" vertical="center"/>
    </xf>
    <xf numFmtId="177" fontId="5" fillId="0" borderId="3" xfId="19" applyNumberFormat="1" applyFont="1" applyBorder="1" applyAlignment="1">
      <alignment/>
    </xf>
    <xf numFmtId="167" fontId="8" fillId="0" borderId="0" xfId="15" applyNumberFormat="1" applyFont="1" applyAlignment="1">
      <alignment horizontal="right"/>
    </xf>
    <xf numFmtId="10" fontId="8" fillId="0" borderId="0" xfId="19" applyNumberFormat="1" applyFont="1" applyAlignment="1">
      <alignment/>
    </xf>
    <xf numFmtId="3" fontId="6" fillId="0" borderId="1" xfId="0" applyNumberFormat="1" applyFont="1" applyBorder="1" applyAlignment="1">
      <alignment horizontal="left" vertical="center"/>
    </xf>
    <xf numFmtId="2" fontId="7" fillId="0" borderId="0" xfId="15" applyNumberFormat="1" applyFont="1" applyAlignment="1">
      <alignment horizontal="right"/>
    </xf>
    <xf numFmtId="4" fontId="8" fillId="0" borderId="0" xfId="15" applyNumberFormat="1" applyFont="1" applyBorder="1" applyAlignment="1">
      <alignment horizontal="right"/>
    </xf>
    <xf numFmtId="171" fontId="7" fillId="0" borderId="0" xfId="19" applyNumberFormat="1" applyFont="1" applyBorder="1" applyAlignment="1">
      <alignment horizontal="center" vertical="center"/>
    </xf>
    <xf numFmtId="171" fontId="5" fillId="0" borderId="0" xfId="19" applyNumberFormat="1" applyFont="1" applyBorder="1" applyAlignment="1">
      <alignment horizontal="center" vertical="center"/>
    </xf>
    <xf numFmtId="17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8.7109375" defaultRowHeight="12.75"/>
  <cols>
    <col min="1" max="1" width="32.421875" style="3" customWidth="1"/>
    <col min="2" max="2" width="10.8515625" style="1" customWidth="1"/>
    <col min="3" max="3" width="13.8515625" style="1" hidden="1" customWidth="1"/>
    <col min="4" max="4" width="10.28125" style="2" customWidth="1"/>
    <col min="5" max="9" width="15.8515625" style="2" bestFit="1" customWidth="1"/>
    <col min="10" max="16384" width="8.7109375" style="1" customWidth="1"/>
  </cols>
  <sheetData>
    <row r="1" spans="1:9" s="347" customFormat="1" ht="24" customHeight="1">
      <c r="A1" s="348" t="s">
        <v>0</v>
      </c>
      <c r="D1" s="349"/>
      <c r="E1" s="349"/>
      <c r="F1" s="349"/>
      <c r="G1" s="349"/>
      <c r="H1" s="349"/>
      <c r="I1" s="349"/>
    </row>
    <row r="2" spans="1:9" s="347" customFormat="1" ht="24" customHeight="1">
      <c r="A2" s="350" t="s">
        <v>1</v>
      </c>
      <c r="B2" s="351"/>
      <c r="C2" s="351"/>
      <c r="D2" s="336"/>
      <c r="E2" s="336"/>
      <c r="F2" s="336"/>
      <c r="G2" s="336"/>
      <c r="H2" s="336"/>
      <c r="I2" s="336"/>
    </row>
    <row r="3" ht="12.75">
      <c r="C3" s="4"/>
    </row>
    <row r="4" spans="2:9" ht="37.5" customHeight="1">
      <c r="B4" s="5" t="s">
        <v>263</v>
      </c>
      <c r="C4" s="6"/>
      <c r="D4" s="5" t="s">
        <v>368</v>
      </c>
      <c r="E4" s="5" t="s">
        <v>371</v>
      </c>
      <c r="F4" s="5" t="s">
        <v>97</v>
      </c>
      <c r="G4" s="5" t="s">
        <v>125</v>
      </c>
      <c r="H4" s="5" t="s">
        <v>369</v>
      </c>
      <c r="I4" s="5" t="s">
        <v>370</v>
      </c>
    </row>
    <row r="5" spans="1:9" ht="18" customHeight="1">
      <c r="A5" s="7" t="s">
        <v>348</v>
      </c>
      <c r="B5" s="8"/>
      <c r="C5" s="9"/>
      <c r="I5" s="10"/>
    </row>
    <row r="6" spans="1:9" ht="18" customHeight="1">
      <c r="A6" s="7" t="s">
        <v>5</v>
      </c>
      <c r="B6" s="11"/>
      <c r="C6" s="12"/>
      <c r="D6" s="13"/>
      <c r="E6" s="14"/>
      <c r="F6" s="14"/>
      <c r="G6" s="14"/>
      <c r="H6" s="14"/>
      <c r="I6" s="15"/>
    </row>
    <row r="7" spans="1:10" ht="12.75">
      <c r="A7" s="3" t="s">
        <v>6</v>
      </c>
      <c r="B7" s="16">
        <f>B22</f>
        <v>1</v>
      </c>
      <c r="C7" s="12"/>
      <c r="D7" s="17"/>
      <c r="E7" s="18">
        <f>B7</f>
        <v>1</v>
      </c>
      <c r="F7" s="18">
        <f aca="true" t="shared" si="0" ref="F7:I9">E7</f>
        <v>1</v>
      </c>
      <c r="G7" s="18">
        <f t="shared" si="0"/>
        <v>1</v>
      </c>
      <c r="H7" s="18">
        <f t="shared" si="0"/>
        <v>1</v>
      </c>
      <c r="I7" s="18">
        <f t="shared" si="0"/>
        <v>1</v>
      </c>
      <c r="J7" s="19"/>
    </row>
    <row r="8" spans="1:11" ht="12.75">
      <c r="A8" s="3" t="s">
        <v>345</v>
      </c>
      <c r="B8" s="239">
        <f>B23</f>
        <v>1800</v>
      </c>
      <c r="C8" s="21"/>
      <c r="D8" s="22"/>
      <c r="E8" s="241">
        <f>B8</f>
        <v>1800</v>
      </c>
      <c r="F8" s="241">
        <f t="shared" si="0"/>
        <v>1800</v>
      </c>
      <c r="G8" s="241">
        <f t="shared" si="0"/>
        <v>1800</v>
      </c>
      <c r="H8" s="241">
        <f t="shared" si="0"/>
        <v>1800</v>
      </c>
      <c r="I8" s="241">
        <f t="shared" si="0"/>
        <v>1800</v>
      </c>
      <c r="J8" s="2"/>
      <c r="K8" s="4"/>
    </row>
    <row r="9" spans="1:11" ht="12.75" customHeight="1">
      <c r="A9" s="24" t="s">
        <v>346</v>
      </c>
      <c r="B9" s="240">
        <f>B32</f>
        <v>264</v>
      </c>
      <c r="C9" s="26"/>
      <c r="D9" s="27"/>
      <c r="E9" s="242">
        <f>B9*E8</f>
        <v>475200</v>
      </c>
      <c r="F9" s="242">
        <f t="shared" si="0"/>
        <v>475200</v>
      </c>
      <c r="G9" s="242">
        <f t="shared" si="0"/>
        <v>475200</v>
      </c>
      <c r="H9" s="242">
        <f t="shared" si="0"/>
        <v>475200</v>
      </c>
      <c r="I9" s="242">
        <f t="shared" si="0"/>
        <v>475200</v>
      </c>
      <c r="J9" s="28"/>
      <c r="K9" s="4"/>
    </row>
    <row r="10" spans="1:10" ht="25.5" customHeight="1">
      <c r="A10" s="7" t="s">
        <v>7</v>
      </c>
      <c r="B10" s="20"/>
      <c r="C10" s="21"/>
      <c r="D10" s="22"/>
      <c r="E10" s="23"/>
      <c r="F10" s="23"/>
      <c r="G10" s="23"/>
      <c r="H10" s="23"/>
      <c r="I10" s="29"/>
      <c r="J10" s="2"/>
    </row>
    <row r="11" spans="1:10" ht="12.75">
      <c r="A11" s="3" t="s">
        <v>6</v>
      </c>
      <c r="B11" s="238">
        <f>B24</f>
        <v>0.6</v>
      </c>
      <c r="C11" s="21"/>
      <c r="D11" s="22"/>
      <c r="E11" s="23">
        <f>B11</f>
        <v>0.6</v>
      </c>
      <c r="F11" s="23">
        <f>IF((E11+B25)&lt;1,E11+B25,1)</f>
        <v>0.7</v>
      </c>
      <c r="G11" s="23">
        <f>IF((F11+B25)&lt;1,F11+B25,1)</f>
        <v>0.7999999999999999</v>
      </c>
      <c r="H11" s="23">
        <f>IF((G11+B25)&lt;1,G11+B25,1)</f>
        <v>0.8999999999999999</v>
      </c>
      <c r="I11" s="23">
        <f>IF((H11+B25)&lt;1,H11+B25,1)</f>
        <v>1</v>
      </c>
      <c r="J11" s="19"/>
    </row>
    <row r="12" spans="1:10" ht="12.75">
      <c r="A12" s="3" t="s">
        <v>345</v>
      </c>
      <c r="B12" s="20"/>
      <c r="C12" s="21"/>
      <c r="D12" s="22"/>
      <c r="E12" s="241">
        <f>E8*E11</f>
        <v>1080</v>
      </c>
      <c r="F12" s="241">
        <f>F8*F11</f>
        <v>1260</v>
      </c>
      <c r="G12" s="241">
        <f>G8*G11</f>
        <v>1439.9999999999998</v>
      </c>
      <c r="H12" s="241">
        <f>H8*H11</f>
        <v>1619.9999999999998</v>
      </c>
      <c r="I12" s="241">
        <f>I8*I11</f>
        <v>1800</v>
      </c>
      <c r="J12" s="2"/>
    </row>
    <row r="13" spans="1:10" ht="12.75">
      <c r="A13" s="24" t="s">
        <v>346</v>
      </c>
      <c r="B13" s="20"/>
      <c r="C13" s="21"/>
      <c r="D13" s="22"/>
      <c r="E13" s="241">
        <f>E9*E11</f>
        <v>285120</v>
      </c>
      <c r="F13" s="241">
        <f>F9*F11</f>
        <v>332640</v>
      </c>
      <c r="G13" s="241">
        <f>G9*G11</f>
        <v>380159.99999999994</v>
      </c>
      <c r="H13" s="241">
        <f>H9*H11</f>
        <v>427679.99999999994</v>
      </c>
      <c r="I13" s="241">
        <f>I9*I11</f>
        <v>475200</v>
      </c>
      <c r="J13" s="2"/>
    </row>
    <row r="14" spans="1:10" ht="12.75">
      <c r="A14" s="3" t="s">
        <v>8</v>
      </c>
      <c r="B14" s="238">
        <f>B26</f>
        <v>0.29</v>
      </c>
      <c r="C14" s="21"/>
      <c r="D14" s="30"/>
      <c r="E14" s="243">
        <f>-B14*E13</f>
        <v>-82684.79999999999</v>
      </c>
      <c r="F14" s="243">
        <f>-B14*F13</f>
        <v>-96465.59999999999</v>
      </c>
      <c r="G14" s="243">
        <f>-B14*G13</f>
        <v>-110246.39999999998</v>
      </c>
      <c r="H14" s="243">
        <f>-B14*H13</f>
        <v>-124027.19999999997</v>
      </c>
      <c r="I14" s="243">
        <f>-B14*I13</f>
        <v>-137808</v>
      </c>
      <c r="J14" s="2"/>
    </row>
    <row r="15" spans="1:10" ht="25.5" customHeight="1" thickBot="1">
      <c r="A15" s="7" t="s">
        <v>9</v>
      </c>
      <c r="B15" s="25"/>
      <c r="C15" s="32"/>
      <c r="D15" s="33"/>
      <c r="E15" s="244">
        <f>E13+E14</f>
        <v>202435.2</v>
      </c>
      <c r="F15" s="244">
        <f>F13+F14</f>
        <v>236174.40000000002</v>
      </c>
      <c r="G15" s="244">
        <f>G13+G14</f>
        <v>269913.6</v>
      </c>
      <c r="H15" s="244">
        <f>H13+H14</f>
        <v>303652.8</v>
      </c>
      <c r="I15" s="244">
        <f>I13+I14</f>
        <v>337392</v>
      </c>
      <c r="J15" s="34"/>
    </row>
    <row r="16" spans="1:9" ht="23.25" customHeight="1" thickTop="1">
      <c r="A16" s="7" t="s">
        <v>343</v>
      </c>
      <c r="B16" s="20"/>
      <c r="C16" s="21"/>
      <c r="D16" s="23"/>
      <c r="E16" s="23"/>
      <c r="F16" s="23"/>
      <c r="G16" s="23"/>
      <c r="H16" s="23"/>
      <c r="I16" s="29"/>
    </row>
    <row r="17" spans="1:9" ht="12.75">
      <c r="A17" s="3" t="s">
        <v>420</v>
      </c>
      <c r="B17" s="237">
        <f>B27</f>
        <v>0.36</v>
      </c>
      <c r="C17" s="21"/>
      <c r="D17" s="23"/>
      <c r="E17" s="241">
        <f>B17*E15</f>
        <v>72876.672</v>
      </c>
      <c r="F17" s="241">
        <f>B17*F15</f>
        <v>85022.784</v>
      </c>
      <c r="G17" s="241">
        <f>B17*G15</f>
        <v>97168.896</v>
      </c>
      <c r="H17" s="241">
        <f>B17*H15</f>
        <v>109315.00799999999</v>
      </c>
      <c r="I17" s="241">
        <f>B17*I15</f>
        <v>121461.12</v>
      </c>
    </row>
    <row r="18" spans="1:9" ht="12.75">
      <c r="A18" s="3" t="s">
        <v>344</v>
      </c>
      <c r="B18" s="238">
        <f>B28</f>
        <v>0.64</v>
      </c>
      <c r="C18" s="21"/>
      <c r="D18" s="31"/>
      <c r="E18" s="243">
        <f>B18*E15</f>
        <v>129558.528</v>
      </c>
      <c r="F18" s="243">
        <f>B18*F15</f>
        <v>151151.616</v>
      </c>
      <c r="G18" s="243">
        <f>B18*G15</f>
        <v>172744.704</v>
      </c>
      <c r="H18" s="243">
        <f>B18*H15</f>
        <v>194337.792</v>
      </c>
      <c r="I18" s="243">
        <f>B18*I15</f>
        <v>215930.88</v>
      </c>
    </row>
    <row r="19" spans="1:9" ht="18" customHeight="1" thickBot="1">
      <c r="A19" s="7" t="s">
        <v>349</v>
      </c>
      <c r="B19" s="25"/>
      <c r="C19" s="32"/>
      <c r="D19" s="33"/>
      <c r="E19" s="244">
        <f>E17+E18</f>
        <v>202435.2</v>
      </c>
      <c r="F19" s="244">
        <f>F17+F18</f>
        <v>236174.40000000002</v>
      </c>
      <c r="G19" s="244">
        <f>G17+G18</f>
        <v>269913.6</v>
      </c>
      <c r="H19" s="244">
        <f>H17+H18</f>
        <v>303652.8</v>
      </c>
      <c r="I19" s="244">
        <f>I17+I18</f>
        <v>337392</v>
      </c>
    </row>
    <row r="20" ht="13.5" thickTop="1">
      <c r="C20" s="4"/>
    </row>
    <row r="21" spans="1:7" ht="15">
      <c r="A21" s="337" t="s">
        <v>447</v>
      </c>
      <c r="B21" s="36"/>
      <c r="C21" s="36"/>
      <c r="D21" s="37"/>
      <c r="E21" s="37"/>
      <c r="F21" s="37"/>
      <c r="G21" s="37"/>
    </row>
    <row r="22" spans="1:12" ht="12.75">
      <c r="A22" s="339" t="s">
        <v>450</v>
      </c>
      <c r="B22" s="341">
        <v>1</v>
      </c>
      <c r="C22" s="35"/>
      <c r="D22" s="339" t="s">
        <v>449</v>
      </c>
      <c r="E22" s="37"/>
      <c r="F22" s="37"/>
      <c r="G22" s="37"/>
      <c r="L22" s="39"/>
    </row>
    <row r="23" spans="1:12" ht="12.75">
      <c r="A23" s="339" t="s">
        <v>448</v>
      </c>
      <c r="B23" s="342">
        <v>1800</v>
      </c>
      <c r="C23" s="343"/>
      <c r="D23" s="339" t="s">
        <v>459</v>
      </c>
      <c r="E23" s="37"/>
      <c r="F23" s="37"/>
      <c r="G23" s="37"/>
      <c r="H23" s="37"/>
      <c r="I23" s="37"/>
      <c r="J23" s="36"/>
      <c r="K23" s="36"/>
      <c r="L23" s="39"/>
    </row>
    <row r="24" spans="1:12" ht="12.75">
      <c r="A24" s="344" t="s">
        <v>461</v>
      </c>
      <c r="B24" s="341">
        <v>0.6</v>
      </c>
      <c r="C24" s="345"/>
      <c r="D24" s="339" t="s">
        <v>451</v>
      </c>
      <c r="L24" s="39"/>
    </row>
    <row r="25" spans="1:4" ht="25.5">
      <c r="A25" s="344" t="s">
        <v>462</v>
      </c>
      <c r="B25" s="341">
        <v>0.1</v>
      </c>
      <c r="C25" s="345"/>
      <c r="D25" s="339" t="s">
        <v>452</v>
      </c>
    </row>
    <row r="26" spans="1:4" ht="12.75">
      <c r="A26" s="344" t="s">
        <v>463</v>
      </c>
      <c r="B26" s="341">
        <v>0.29</v>
      </c>
      <c r="C26" s="345"/>
      <c r="D26" s="339" t="s">
        <v>460</v>
      </c>
    </row>
    <row r="27" spans="1:4" ht="25.5">
      <c r="A27" s="344" t="s">
        <v>464</v>
      </c>
      <c r="B27" s="341">
        <v>0.36</v>
      </c>
      <c r="C27" s="345"/>
      <c r="D27" s="339" t="s">
        <v>458</v>
      </c>
    </row>
    <row r="28" spans="1:4" ht="12.75">
      <c r="A28" s="344" t="s">
        <v>466</v>
      </c>
      <c r="B28" s="341">
        <f>1-B27</f>
        <v>0.64</v>
      </c>
      <c r="C28" s="345"/>
      <c r="D28" s="339" t="s">
        <v>457</v>
      </c>
    </row>
    <row r="29" spans="1:4" ht="12.75">
      <c r="A29" s="344" t="s">
        <v>465</v>
      </c>
      <c r="B29" s="346">
        <v>1</v>
      </c>
      <c r="C29" s="345"/>
      <c r="D29" s="339" t="s">
        <v>456</v>
      </c>
    </row>
    <row r="30" spans="1:4" ht="12.75">
      <c r="A30" s="344" t="s">
        <v>467</v>
      </c>
      <c r="B30" s="346">
        <v>22</v>
      </c>
      <c r="C30" s="345"/>
      <c r="D30" s="339" t="s">
        <v>455</v>
      </c>
    </row>
    <row r="31" spans="1:4" ht="12.75">
      <c r="A31" s="344" t="s">
        <v>468</v>
      </c>
      <c r="B31" s="346">
        <v>12</v>
      </c>
      <c r="C31" s="345"/>
      <c r="D31" s="339" t="s">
        <v>454</v>
      </c>
    </row>
    <row r="32" spans="1:4" ht="12.75">
      <c r="A32" s="344" t="s">
        <v>467</v>
      </c>
      <c r="B32" s="346">
        <f>B30*B31</f>
        <v>264</v>
      </c>
      <c r="C32" s="345"/>
      <c r="D32" s="339" t="s">
        <v>453</v>
      </c>
    </row>
  </sheetData>
  <printOptions horizontalCentered="1" verticalCentered="1"/>
  <pageMargins left="0.75" right="0.75" top="1" bottom="1" header="0" footer="0"/>
  <pageSetup horizontalDpi="200" verticalDpi="200" orientation="portrait" r:id="rId1"/>
  <ignoredErrors>
    <ignoredError sqref="F17:F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8.7109375" defaultRowHeight="12.75"/>
  <cols>
    <col min="1" max="1" width="32.7109375" style="3" customWidth="1"/>
    <col min="2" max="2" width="8.7109375" style="1" customWidth="1"/>
    <col min="3" max="3" width="0.42578125" style="1" customWidth="1"/>
    <col min="4" max="4" width="7.140625" style="2" customWidth="1"/>
    <col min="5" max="5" width="11.28125" style="2" customWidth="1"/>
    <col min="6" max="6" width="12.57421875" style="2" customWidth="1"/>
    <col min="7" max="7" width="13.140625" style="2" customWidth="1"/>
    <col min="8" max="8" width="14.00390625" style="2" customWidth="1"/>
    <col min="9" max="9" width="13.28125" style="2" customWidth="1"/>
    <col min="10" max="16384" width="8.7109375" style="1" customWidth="1"/>
  </cols>
  <sheetData>
    <row r="1" spans="1:9" s="398" customFormat="1" ht="24" customHeight="1">
      <c r="A1" s="397" t="s">
        <v>88</v>
      </c>
      <c r="D1" s="399"/>
      <c r="E1" s="399"/>
      <c r="F1" s="399"/>
      <c r="G1" s="399"/>
      <c r="H1" s="399"/>
      <c r="I1" s="399"/>
    </row>
    <row r="2" spans="1:9" s="398" customFormat="1" ht="24" customHeight="1">
      <c r="A2" s="400" t="s">
        <v>89</v>
      </c>
      <c r="B2" s="401"/>
      <c r="C2" s="401"/>
      <c r="D2" s="402"/>
      <c r="E2" s="402"/>
      <c r="F2" s="402"/>
      <c r="G2" s="402"/>
      <c r="H2" s="402"/>
      <c r="I2" s="402"/>
    </row>
    <row r="3" ht="12.75">
      <c r="C3" s="4"/>
    </row>
    <row r="4" spans="2:9" ht="37.5" customHeight="1">
      <c r="B4" s="5" t="s">
        <v>263</v>
      </c>
      <c r="C4" s="6"/>
      <c r="D4" s="5" t="s">
        <v>3</v>
      </c>
      <c r="E4" s="5" t="s">
        <v>4</v>
      </c>
      <c r="F4" s="5" t="s">
        <v>52</v>
      </c>
      <c r="G4" s="5" t="s">
        <v>53</v>
      </c>
      <c r="H4" s="5" t="s">
        <v>90</v>
      </c>
      <c r="I4" s="5" t="s">
        <v>54</v>
      </c>
    </row>
    <row r="5" spans="1:9" ht="18" customHeight="1">
      <c r="A5" s="7" t="s">
        <v>355</v>
      </c>
      <c r="B5" s="8"/>
      <c r="C5" s="9"/>
      <c r="I5" s="10"/>
    </row>
    <row r="6" spans="1:9" ht="18.75" customHeight="1">
      <c r="A6" s="7" t="s">
        <v>5</v>
      </c>
      <c r="C6" s="4"/>
      <c r="D6" s="158"/>
      <c r="I6" s="10"/>
    </row>
    <row r="7" spans="1:10" ht="12.75">
      <c r="A7" s="3" t="s">
        <v>6</v>
      </c>
      <c r="B7" s="16">
        <f>'C1'!B7</f>
        <v>1</v>
      </c>
      <c r="C7" s="12"/>
      <c r="D7" s="11"/>
      <c r="E7" s="159">
        <f>'C1'!E7</f>
        <v>1</v>
      </c>
      <c r="F7" s="159">
        <f>'C1'!F7</f>
        <v>1</v>
      </c>
      <c r="G7" s="159">
        <f>'C1'!G7</f>
        <v>1</v>
      </c>
      <c r="H7" s="159">
        <f>'C1'!H7</f>
        <v>1</v>
      </c>
      <c r="I7" s="159">
        <f>'C1'!I7</f>
        <v>1</v>
      </c>
      <c r="J7" s="19"/>
    </row>
    <row r="8" spans="1:11" ht="12.75">
      <c r="A8" s="3" t="s">
        <v>345</v>
      </c>
      <c r="B8" s="50">
        <f>'C1'!B8</f>
        <v>1800</v>
      </c>
      <c r="C8" s="12"/>
      <c r="D8" s="11"/>
      <c r="E8" s="160">
        <f>'C1'!E8</f>
        <v>1800</v>
      </c>
      <c r="F8" s="160">
        <f>'C1'!F8</f>
        <v>1800</v>
      </c>
      <c r="G8" s="160">
        <f>'C1'!G8</f>
        <v>1800</v>
      </c>
      <c r="H8" s="160">
        <f>'C1'!H8</f>
        <v>1800</v>
      </c>
      <c r="I8" s="160">
        <f>'C1'!I8</f>
        <v>1800</v>
      </c>
      <c r="J8" s="2"/>
      <c r="K8" s="4"/>
    </row>
    <row r="9" spans="1:11" ht="18" customHeight="1">
      <c r="A9" s="24" t="s">
        <v>346</v>
      </c>
      <c r="B9" s="50">
        <f>'C1'!B9</f>
        <v>264</v>
      </c>
      <c r="C9" s="161"/>
      <c r="D9" s="162"/>
      <c r="E9" s="175">
        <f>'C1'!E9</f>
        <v>475200</v>
      </c>
      <c r="F9" s="175">
        <f>'C1'!F9</f>
        <v>475200</v>
      </c>
      <c r="G9" s="175">
        <f>'C1'!G9</f>
        <v>475200</v>
      </c>
      <c r="H9" s="175">
        <f>'C1'!H9</f>
        <v>475200</v>
      </c>
      <c r="I9" s="175">
        <f>'C1'!I9</f>
        <v>475200</v>
      </c>
      <c r="J9" s="2"/>
      <c r="K9" s="4"/>
    </row>
    <row r="10" spans="1:10" ht="18" customHeight="1">
      <c r="A10" s="7" t="s">
        <v>7</v>
      </c>
      <c r="B10" s="16"/>
      <c r="C10" s="12"/>
      <c r="D10" s="11"/>
      <c r="E10" s="159"/>
      <c r="F10" s="159"/>
      <c r="G10" s="159"/>
      <c r="H10" s="159"/>
      <c r="I10" s="159"/>
      <c r="J10" s="2"/>
    </row>
    <row r="11" spans="1:10" ht="12.75">
      <c r="A11" s="3" t="s">
        <v>6</v>
      </c>
      <c r="B11" s="16">
        <f>'C1'!B11</f>
        <v>0.6</v>
      </c>
      <c r="C11" s="12"/>
      <c r="D11" s="11"/>
      <c r="E11" s="159">
        <f>'C1'!E11</f>
        <v>0.6</v>
      </c>
      <c r="F11" s="159">
        <f>'C1'!F11</f>
        <v>0.7</v>
      </c>
      <c r="G11" s="159">
        <f>'C1'!G11</f>
        <v>0.7999999999999999</v>
      </c>
      <c r="H11" s="159">
        <f>'C1'!H11</f>
        <v>0.8999999999999999</v>
      </c>
      <c r="I11" s="159">
        <f>'C1'!I11</f>
        <v>1</v>
      </c>
      <c r="J11" s="19"/>
    </row>
    <row r="12" spans="1:10" ht="12.75">
      <c r="A12" s="3" t="s">
        <v>345</v>
      </c>
      <c r="B12" s="16"/>
      <c r="C12" s="12"/>
      <c r="D12" s="11"/>
      <c r="E12" s="160">
        <f>'C1'!E12</f>
        <v>1080</v>
      </c>
      <c r="F12" s="160">
        <f>'C1'!F12</f>
        <v>1260</v>
      </c>
      <c r="G12" s="160">
        <f>'C1'!G12</f>
        <v>1439.9999999999998</v>
      </c>
      <c r="H12" s="160">
        <f>'C1'!H12</f>
        <v>1619.9999999999998</v>
      </c>
      <c r="I12" s="160">
        <f>'C1'!I12</f>
        <v>1800</v>
      </c>
      <c r="J12" s="2"/>
    </row>
    <row r="13" spans="1:10" ht="12.75">
      <c r="A13" s="3" t="s">
        <v>346</v>
      </c>
      <c r="B13" s="16"/>
      <c r="C13" s="12"/>
      <c r="D13" s="11"/>
      <c r="E13" s="160">
        <f>'C1'!E13</f>
        <v>285120</v>
      </c>
      <c r="F13" s="160">
        <f>'C1'!F13</f>
        <v>332640</v>
      </c>
      <c r="G13" s="160">
        <f>'C1'!G13</f>
        <v>380159.99999999994</v>
      </c>
      <c r="H13" s="160">
        <f>'C1'!H13</f>
        <v>427679.99999999994</v>
      </c>
      <c r="I13" s="160">
        <f>'C1'!I13</f>
        <v>475200</v>
      </c>
      <c r="J13" s="2"/>
    </row>
    <row r="14" spans="1:10" ht="12.75">
      <c r="A14" s="3" t="s">
        <v>8</v>
      </c>
      <c r="B14" s="16">
        <f>'C1'!B14</f>
        <v>0.29</v>
      </c>
      <c r="C14" s="163"/>
      <c r="D14" s="78"/>
      <c r="E14" s="278">
        <f>'C1'!E14</f>
        <v>-82684.79999999999</v>
      </c>
      <c r="F14" s="278">
        <f>'C1'!F14</f>
        <v>-96465.59999999999</v>
      </c>
      <c r="G14" s="278">
        <f>'C1'!G14</f>
        <v>-110246.39999999998</v>
      </c>
      <c r="H14" s="278">
        <f>'C1'!H14</f>
        <v>-124027.19999999997</v>
      </c>
      <c r="I14" s="278">
        <f>'C1'!I14</f>
        <v>-137808</v>
      </c>
      <c r="J14" s="2"/>
    </row>
    <row r="15" spans="1:9" ht="18" customHeight="1" thickBot="1">
      <c r="A15" s="7" t="s">
        <v>9</v>
      </c>
      <c r="B15" s="16"/>
      <c r="C15" s="161"/>
      <c r="D15" s="119"/>
      <c r="E15" s="266">
        <f>'C1'!E15</f>
        <v>202435.2</v>
      </c>
      <c r="F15" s="266">
        <f>'C1'!F15</f>
        <v>236174.40000000002</v>
      </c>
      <c r="G15" s="266">
        <f>'C1'!G15</f>
        <v>269913.6</v>
      </c>
      <c r="H15" s="266">
        <f>'C1'!H15</f>
        <v>303652.8</v>
      </c>
      <c r="I15" s="266">
        <f>'C1'!I15</f>
        <v>337392</v>
      </c>
    </row>
    <row r="16" spans="1:9" ht="18" customHeight="1" thickTop="1">
      <c r="A16" s="7" t="s">
        <v>343</v>
      </c>
      <c r="B16" s="16"/>
      <c r="C16" s="12"/>
      <c r="D16" s="50"/>
      <c r="E16" s="261"/>
      <c r="F16" s="261"/>
      <c r="G16" s="261"/>
      <c r="H16" s="261"/>
      <c r="I16" s="261"/>
    </row>
    <row r="17" spans="1:9" ht="12.75">
      <c r="A17" s="3" t="s">
        <v>420</v>
      </c>
      <c r="B17" s="16">
        <f>'C1'!B17</f>
        <v>0.36</v>
      </c>
      <c r="C17" s="163"/>
      <c r="D17" s="50"/>
      <c r="E17" s="261">
        <f>'C1'!E17</f>
        <v>72876.672</v>
      </c>
      <c r="F17" s="261">
        <f>'C1'!F17</f>
        <v>85022.784</v>
      </c>
      <c r="G17" s="261">
        <f>'C1'!G17</f>
        <v>97168.896</v>
      </c>
      <c r="H17" s="261">
        <f>'C1'!H17</f>
        <v>109315.00799999999</v>
      </c>
      <c r="I17" s="261">
        <f>'C1'!I17</f>
        <v>121461.12</v>
      </c>
    </row>
    <row r="18" spans="1:9" ht="12.75">
      <c r="A18" s="3" t="s">
        <v>344</v>
      </c>
      <c r="B18" s="16">
        <f>'C1'!B18</f>
        <v>0.64</v>
      </c>
      <c r="C18" s="163"/>
      <c r="D18" s="78"/>
      <c r="E18" s="278">
        <f>'C1'!E18</f>
        <v>129558.528</v>
      </c>
      <c r="F18" s="278">
        <f>'C1'!F18</f>
        <v>151151.616</v>
      </c>
      <c r="G18" s="278">
        <f>'C1'!G18</f>
        <v>172744.704</v>
      </c>
      <c r="H18" s="278">
        <f>'C1'!H18</f>
        <v>194337.792</v>
      </c>
      <c r="I18" s="278">
        <f>'C1'!I18</f>
        <v>215930.88</v>
      </c>
    </row>
    <row r="19" spans="1:9" ht="18" customHeight="1" thickBot="1">
      <c r="A19" s="7" t="s">
        <v>349</v>
      </c>
      <c r="B19" s="166"/>
      <c r="C19" s="161"/>
      <c r="D19" s="119"/>
      <c r="E19" s="266">
        <f>'C1'!E19</f>
        <v>202435.2</v>
      </c>
      <c r="F19" s="266">
        <f>'C1'!F19</f>
        <v>236174.40000000002</v>
      </c>
      <c r="G19" s="266">
        <f>'C1'!G19</f>
        <v>269913.6</v>
      </c>
      <c r="H19" s="266">
        <f>'C1'!H19</f>
        <v>303652.8</v>
      </c>
      <c r="I19" s="266">
        <f>'C1'!I19</f>
        <v>337392</v>
      </c>
    </row>
    <row r="20" spans="2:9" ht="13.5" thickTop="1">
      <c r="B20" s="11"/>
      <c r="C20" s="12"/>
      <c r="D20" s="98"/>
      <c r="E20" s="309"/>
      <c r="F20" s="309"/>
      <c r="G20" s="309"/>
      <c r="H20" s="309"/>
      <c r="I20" s="309"/>
    </row>
    <row r="21" spans="1:9" ht="18" customHeight="1">
      <c r="A21" s="7" t="s">
        <v>356</v>
      </c>
      <c r="B21" s="11"/>
      <c r="C21" s="12"/>
      <c r="D21" s="98"/>
      <c r="E21" s="309"/>
      <c r="F21" s="309"/>
      <c r="G21" s="309"/>
      <c r="H21" s="309"/>
      <c r="I21" s="309"/>
    </row>
    <row r="22" spans="1:9" ht="12.75">
      <c r="A22" s="3" t="s">
        <v>91</v>
      </c>
      <c r="B22" s="11">
        <f>D31</f>
        <v>110</v>
      </c>
      <c r="C22" s="12"/>
      <c r="D22" s="98"/>
      <c r="E22" s="309">
        <f>B22</f>
        <v>110</v>
      </c>
      <c r="F22" s="309">
        <f>E22*(1+D33)</f>
        <v>115.5</v>
      </c>
      <c r="G22" s="309">
        <f>F22*(1+D33)</f>
        <v>121.275</v>
      </c>
      <c r="H22" s="309">
        <f>G22*(1+D33)</f>
        <v>127.33875</v>
      </c>
      <c r="I22" s="309">
        <f>H22*(1+D33)</f>
        <v>133.7056875</v>
      </c>
    </row>
    <row r="23" spans="1:9" ht="12.75">
      <c r="A23" s="3" t="s">
        <v>92</v>
      </c>
      <c r="B23" s="11">
        <f>D32</f>
        <v>230</v>
      </c>
      <c r="C23" s="12"/>
      <c r="D23" s="98"/>
      <c r="E23" s="309">
        <f>B23</f>
        <v>230</v>
      </c>
      <c r="F23" s="309">
        <f>E23*(1+D34)</f>
        <v>247.25</v>
      </c>
      <c r="G23" s="309">
        <f>F23*(1+D34)</f>
        <v>265.79375</v>
      </c>
      <c r="H23" s="309">
        <f>G23*(1+D34)</f>
        <v>285.72828124999995</v>
      </c>
      <c r="I23" s="309">
        <f>H23*(1+D34)</f>
        <v>307.1579023437499</v>
      </c>
    </row>
    <row r="24" spans="2:9" ht="12.75">
      <c r="B24" s="167"/>
      <c r="C24" s="168"/>
      <c r="D24" s="98"/>
      <c r="E24" s="309"/>
      <c r="F24" s="309"/>
      <c r="G24" s="309"/>
      <c r="H24" s="309"/>
      <c r="I24" s="309"/>
    </row>
    <row r="25" spans="1:9" s="172" customFormat="1" ht="18" customHeight="1">
      <c r="A25" s="7" t="s">
        <v>93</v>
      </c>
      <c r="B25" s="169"/>
      <c r="C25" s="170"/>
      <c r="D25" s="310"/>
      <c r="E25" s="254"/>
      <c r="F25" s="254"/>
      <c r="G25" s="254"/>
      <c r="H25" s="254"/>
      <c r="I25" s="254"/>
    </row>
    <row r="26" spans="1:9" s="172" customFormat="1" ht="12.75">
      <c r="A26" s="172" t="s">
        <v>91</v>
      </c>
      <c r="B26" s="169"/>
      <c r="C26" s="170"/>
      <c r="D26" s="310"/>
      <c r="E26" s="254">
        <f>E13*E22</f>
        <v>31363200</v>
      </c>
      <c r="F26" s="254">
        <f>F13*F22</f>
        <v>38419920</v>
      </c>
      <c r="G26" s="254">
        <f>G13*G22</f>
        <v>46103903.99999999</v>
      </c>
      <c r="H26" s="254">
        <f>H13*H22</f>
        <v>54460236.599999994</v>
      </c>
      <c r="I26" s="254">
        <f>I13*I22</f>
        <v>63536942.7</v>
      </c>
    </row>
    <row r="27" spans="1:9" s="172" customFormat="1" ht="12.75">
      <c r="A27" s="172" t="s">
        <v>92</v>
      </c>
      <c r="B27" s="169"/>
      <c r="C27" s="170"/>
      <c r="D27" s="311"/>
      <c r="E27" s="312">
        <f>E13*E23</f>
        <v>65577600</v>
      </c>
      <c r="F27" s="312">
        <f>F13*F23</f>
        <v>82245240</v>
      </c>
      <c r="G27" s="312">
        <f>G13*G23</f>
        <v>101044151.99999999</v>
      </c>
      <c r="H27" s="312">
        <f>H13*H23</f>
        <v>122200271.32499996</v>
      </c>
      <c r="I27" s="312">
        <f>I13*I23</f>
        <v>145961435.19374996</v>
      </c>
    </row>
    <row r="28" spans="1:9" s="172" customFormat="1" ht="18" customHeight="1" thickBot="1">
      <c r="A28" s="7" t="s">
        <v>94</v>
      </c>
      <c r="B28" s="166"/>
      <c r="C28" s="161"/>
      <c r="D28" s="313"/>
      <c r="E28" s="314">
        <f>SUM(E26:E27)</f>
        <v>96940800</v>
      </c>
      <c r="F28" s="314">
        <f>SUM(F26:F27)</f>
        <v>120665160</v>
      </c>
      <c r="G28" s="314">
        <f>SUM(G26:G27)</f>
        <v>147148055.99999997</v>
      </c>
      <c r="H28" s="314">
        <f>SUM(H26:H27)</f>
        <v>176660507.92499995</v>
      </c>
      <c r="I28" s="314">
        <f>SUM(I26:I27)</f>
        <v>209498377.89374995</v>
      </c>
    </row>
    <row r="29" spans="3:9" s="172" customFormat="1" ht="13.5" thickTop="1">
      <c r="C29" s="173"/>
      <c r="D29" s="8"/>
      <c r="E29" s="8"/>
      <c r="F29" s="8"/>
      <c r="G29" s="8"/>
      <c r="H29" s="8"/>
      <c r="I29" s="8"/>
    </row>
    <row r="30" spans="1:9" s="172" customFormat="1" ht="12.75">
      <c r="A30" s="403" t="s">
        <v>447</v>
      </c>
      <c r="C30" s="173"/>
      <c r="D30" s="8"/>
      <c r="E30" s="8"/>
      <c r="F30" s="8"/>
      <c r="G30" s="8"/>
      <c r="H30" s="8"/>
      <c r="I30" s="8"/>
    </row>
    <row r="31" spans="1:9" s="172" customFormat="1" ht="12.75">
      <c r="A31" s="404" t="s">
        <v>517</v>
      </c>
      <c r="C31" s="173"/>
      <c r="D31" s="171">
        <v>110</v>
      </c>
      <c r="E31" s="404" t="s">
        <v>519</v>
      </c>
      <c r="F31" s="8"/>
      <c r="G31" s="8"/>
      <c r="H31" s="8"/>
      <c r="I31" s="8"/>
    </row>
    <row r="32" spans="1:9" s="172" customFormat="1" ht="12.75">
      <c r="A32" s="404" t="s">
        <v>520</v>
      </c>
      <c r="C32" s="173"/>
      <c r="D32" s="171">
        <v>230</v>
      </c>
      <c r="E32" s="404" t="s">
        <v>519</v>
      </c>
      <c r="F32" s="8"/>
      <c r="G32" s="8"/>
      <c r="H32" s="8"/>
      <c r="I32" s="8"/>
    </row>
    <row r="33" spans="1:9" s="172" customFormat="1" ht="12.75">
      <c r="A33" s="404" t="s">
        <v>518</v>
      </c>
      <c r="C33" s="173"/>
      <c r="D33" s="405">
        <v>0.05</v>
      </c>
      <c r="E33" s="404" t="s">
        <v>521</v>
      </c>
      <c r="F33" s="8"/>
      <c r="G33" s="8"/>
      <c r="H33" s="8"/>
      <c r="I33" s="8"/>
    </row>
    <row r="34" spans="1:9" s="172" customFormat="1" ht="12.75">
      <c r="A34" s="404" t="s">
        <v>522</v>
      </c>
      <c r="C34" s="173"/>
      <c r="D34" s="405">
        <v>0.075</v>
      </c>
      <c r="E34" s="404" t="s">
        <v>521</v>
      </c>
      <c r="F34" s="8"/>
      <c r="G34" s="8"/>
      <c r="H34" s="8"/>
      <c r="I34" s="8"/>
    </row>
    <row r="35" spans="3:9" s="172" customFormat="1" ht="12.75">
      <c r="C35" s="173"/>
      <c r="D35" s="8"/>
      <c r="E35" s="8"/>
      <c r="F35" s="8"/>
      <c r="G35" s="8"/>
      <c r="H35" s="8"/>
      <c r="I35" s="8"/>
    </row>
    <row r="36" spans="3:9" s="172" customFormat="1" ht="12.75">
      <c r="C36" s="173"/>
      <c r="D36" s="8"/>
      <c r="E36" s="8"/>
      <c r="F36" s="8"/>
      <c r="G36" s="8"/>
      <c r="H36" s="8"/>
      <c r="I36" s="8"/>
    </row>
    <row r="37" spans="3:9" s="172" customFormat="1" ht="12.75">
      <c r="C37" s="173"/>
      <c r="D37" s="8"/>
      <c r="E37" s="8"/>
      <c r="F37" s="8"/>
      <c r="G37" s="8"/>
      <c r="H37" s="8"/>
      <c r="I37" s="8"/>
    </row>
    <row r="38" spans="3:9" s="172" customFormat="1" ht="12.75">
      <c r="C38" s="173"/>
      <c r="D38" s="8"/>
      <c r="E38" s="8"/>
      <c r="F38" s="8"/>
      <c r="G38" s="8"/>
      <c r="H38" s="8"/>
      <c r="I38" s="8"/>
    </row>
    <row r="39" spans="3:9" s="172" customFormat="1" ht="12.75">
      <c r="C39" s="173"/>
      <c r="D39" s="8"/>
      <c r="E39" s="8"/>
      <c r="F39" s="8"/>
      <c r="G39" s="8"/>
      <c r="H39" s="8"/>
      <c r="I39" s="8"/>
    </row>
    <row r="40" spans="3:9" s="172" customFormat="1" ht="12.75">
      <c r="C40" s="173"/>
      <c r="D40" s="8"/>
      <c r="E40" s="8"/>
      <c r="F40" s="8"/>
      <c r="G40" s="8"/>
      <c r="H40" s="8"/>
      <c r="I40" s="8"/>
    </row>
    <row r="41" spans="3:9" s="172" customFormat="1" ht="12.75">
      <c r="C41" s="173"/>
      <c r="D41" s="8"/>
      <c r="E41" s="8"/>
      <c r="F41" s="8"/>
      <c r="G41" s="8"/>
      <c r="H41" s="8"/>
      <c r="I41" s="8"/>
    </row>
    <row r="42" spans="3:9" s="172" customFormat="1" ht="12.75">
      <c r="C42" s="173"/>
      <c r="D42" s="8"/>
      <c r="E42" s="8"/>
      <c r="F42" s="8"/>
      <c r="G42" s="8"/>
      <c r="H42" s="8"/>
      <c r="I42" s="8"/>
    </row>
    <row r="43" spans="3:9" s="172" customFormat="1" ht="12.75">
      <c r="C43" s="173"/>
      <c r="D43" s="8"/>
      <c r="E43" s="8"/>
      <c r="F43" s="8"/>
      <c r="G43" s="8"/>
      <c r="H43" s="8"/>
      <c r="I43" s="8"/>
    </row>
    <row r="44" spans="3:9" s="172" customFormat="1" ht="12.75">
      <c r="C44" s="173"/>
      <c r="D44" s="8"/>
      <c r="E44" s="8"/>
      <c r="F44" s="8"/>
      <c r="G44" s="8"/>
      <c r="H44" s="8"/>
      <c r="I44" s="8"/>
    </row>
    <row r="45" spans="3:9" s="172" customFormat="1" ht="12.75">
      <c r="C45" s="173"/>
      <c r="D45" s="8"/>
      <c r="E45" s="8"/>
      <c r="F45" s="8"/>
      <c r="G45" s="8"/>
      <c r="H45" s="8"/>
      <c r="I45" s="8"/>
    </row>
    <row r="46" spans="3:9" s="172" customFormat="1" ht="12.75">
      <c r="C46" s="173"/>
      <c r="D46" s="8"/>
      <c r="E46" s="8"/>
      <c r="F46" s="8"/>
      <c r="G46" s="8"/>
      <c r="H46" s="8"/>
      <c r="I46" s="8"/>
    </row>
    <row r="47" spans="3:9" s="172" customFormat="1" ht="12.75">
      <c r="C47" s="173"/>
      <c r="D47" s="8"/>
      <c r="E47" s="8"/>
      <c r="F47" s="8"/>
      <c r="G47" s="8"/>
      <c r="H47" s="8"/>
      <c r="I47" s="8"/>
    </row>
    <row r="48" spans="3:9" s="172" customFormat="1" ht="12.75">
      <c r="C48" s="173"/>
      <c r="D48" s="8"/>
      <c r="E48" s="8"/>
      <c r="F48" s="8"/>
      <c r="G48" s="8"/>
      <c r="H48" s="8"/>
      <c r="I48" s="8"/>
    </row>
    <row r="49" spans="3:9" s="172" customFormat="1" ht="12.75">
      <c r="C49" s="173"/>
      <c r="D49" s="8"/>
      <c r="E49" s="8"/>
      <c r="F49" s="8"/>
      <c r="G49" s="8"/>
      <c r="H49" s="8"/>
      <c r="I49" s="8"/>
    </row>
    <row r="50" spans="3:9" s="172" customFormat="1" ht="12.75">
      <c r="C50" s="173"/>
      <c r="D50" s="8"/>
      <c r="E50" s="8"/>
      <c r="F50" s="8"/>
      <c r="G50" s="8"/>
      <c r="H50" s="8"/>
      <c r="I50" s="8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</sheetData>
  <printOptions horizontalCentered="1" verticalCentered="1"/>
  <pageMargins left="0.75" right="0.75" top="1" bottom="1" header="0" footer="0"/>
  <pageSetup horizontalDpi="200" verticalDpi="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8.7109375" defaultRowHeight="12.75"/>
  <cols>
    <col min="1" max="1" width="32.421875" style="3" customWidth="1"/>
    <col min="2" max="2" width="8.7109375" style="1" customWidth="1"/>
    <col min="3" max="3" width="0.42578125" style="1" customWidth="1"/>
    <col min="4" max="4" width="7.140625" style="2" customWidth="1"/>
    <col min="5" max="5" width="16.140625" style="2" customWidth="1"/>
    <col min="6" max="6" width="14.57421875" style="2" bestFit="1" customWidth="1"/>
    <col min="7" max="7" width="16.00390625" style="2" customWidth="1"/>
    <col min="8" max="8" width="15.28125" style="2" customWidth="1"/>
    <col min="9" max="9" width="14.8515625" style="2" customWidth="1"/>
    <col min="10" max="16384" width="8.7109375" style="1" customWidth="1"/>
  </cols>
  <sheetData>
    <row r="1" spans="1:9" s="398" customFormat="1" ht="24" customHeight="1">
      <c r="A1" s="397" t="s">
        <v>95</v>
      </c>
      <c r="D1" s="399"/>
      <c r="E1" s="399"/>
      <c r="F1" s="399"/>
      <c r="G1" s="399"/>
      <c r="H1" s="399"/>
      <c r="I1" s="399"/>
    </row>
    <row r="2" spans="1:9" s="398" customFormat="1" ht="24" customHeight="1">
      <c r="A2" s="400" t="s">
        <v>96</v>
      </c>
      <c r="B2" s="401"/>
      <c r="C2" s="410"/>
      <c r="D2" s="402"/>
      <c r="E2" s="402"/>
      <c r="F2" s="402"/>
      <c r="G2" s="402"/>
      <c r="H2" s="402"/>
      <c r="I2" s="402"/>
    </row>
    <row r="3" spans="1:9" s="407" customFormat="1" ht="12.75">
      <c r="A3" s="406"/>
      <c r="C3" s="408"/>
      <c r="D3" s="409"/>
      <c r="E3" s="409"/>
      <c r="F3" s="409"/>
      <c r="G3" s="409"/>
      <c r="H3" s="409"/>
      <c r="I3" s="409"/>
    </row>
    <row r="4" spans="2:9" ht="37.5" customHeight="1">
      <c r="B4" s="5" t="s">
        <v>263</v>
      </c>
      <c r="C4" s="6"/>
      <c r="D4" s="5" t="s">
        <v>3</v>
      </c>
      <c r="E4" s="5" t="s">
        <v>276</v>
      </c>
      <c r="F4" s="5" t="s">
        <v>613</v>
      </c>
      <c r="G4" s="5" t="s">
        <v>609</v>
      </c>
      <c r="H4" s="5" t="s">
        <v>99</v>
      </c>
      <c r="I4" s="5" t="s">
        <v>612</v>
      </c>
    </row>
    <row r="5" spans="1:9" ht="18.75" customHeight="1">
      <c r="A5" s="7" t="s">
        <v>355</v>
      </c>
      <c r="B5" s="8"/>
      <c r="C5" s="9"/>
      <c r="I5" s="10"/>
    </row>
    <row r="6" spans="1:9" ht="18" customHeight="1">
      <c r="A6" s="7" t="s">
        <v>5</v>
      </c>
      <c r="C6" s="4"/>
      <c r="D6" s="158"/>
      <c r="I6" s="10"/>
    </row>
    <row r="7" spans="1:10" ht="12.75">
      <c r="A7" s="3" t="s">
        <v>6</v>
      </c>
      <c r="B7" s="16">
        <f>'C1'!B7</f>
        <v>1</v>
      </c>
      <c r="C7" s="12"/>
      <c r="D7" s="11"/>
      <c r="E7" s="16">
        <f>'C1'!E7</f>
        <v>1</v>
      </c>
      <c r="F7" s="16">
        <f>'C1'!F7</f>
        <v>1</v>
      </c>
      <c r="G7" s="16">
        <f>'C1'!G7</f>
        <v>1</v>
      </c>
      <c r="H7" s="16">
        <f>'C1'!H7</f>
        <v>1</v>
      </c>
      <c r="I7" s="16">
        <f>'C1'!I7</f>
        <v>1</v>
      </c>
      <c r="J7" s="19"/>
    </row>
    <row r="8" spans="1:11" ht="12.75">
      <c r="A8" s="3" t="s">
        <v>345</v>
      </c>
      <c r="B8" s="50">
        <f>'C1'!B8</f>
        <v>1800</v>
      </c>
      <c r="C8" s="118"/>
      <c r="D8" s="50"/>
      <c r="E8" s="50">
        <f>'C1'!E8</f>
        <v>1800</v>
      </c>
      <c r="F8" s="50">
        <f>'C1'!F8</f>
        <v>1800</v>
      </c>
      <c r="G8" s="50">
        <f>'C1'!G8</f>
        <v>1800</v>
      </c>
      <c r="H8" s="50">
        <f>'C1'!H8</f>
        <v>1800</v>
      </c>
      <c r="I8" s="50">
        <f>'C1'!I8</f>
        <v>1800</v>
      </c>
      <c r="J8" s="2"/>
      <c r="K8" s="4"/>
    </row>
    <row r="9" spans="1:11" ht="12.75">
      <c r="A9" s="176" t="s">
        <v>346</v>
      </c>
      <c r="B9" s="50">
        <f>'C1'!B9</f>
        <v>264</v>
      </c>
      <c r="C9" s="118"/>
      <c r="D9" s="78"/>
      <c r="E9" s="78">
        <f>'C1'!E9</f>
        <v>475200</v>
      </c>
      <c r="F9" s="78">
        <f>'C1'!F9</f>
        <v>475200</v>
      </c>
      <c r="G9" s="78">
        <f>'C1'!G9</f>
        <v>475200</v>
      </c>
      <c r="H9" s="78">
        <f>'C1'!H9</f>
        <v>475200</v>
      </c>
      <c r="I9" s="78">
        <f>'C1'!I9</f>
        <v>475200</v>
      </c>
      <c r="J9" s="2"/>
      <c r="K9" s="4"/>
    </row>
    <row r="10" spans="1:10" ht="18" customHeight="1">
      <c r="A10" s="7" t="s">
        <v>7</v>
      </c>
      <c r="B10" s="16"/>
      <c r="C10" s="12"/>
      <c r="D10" s="11"/>
      <c r="E10" s="16"/>
      <c r="F10" s="16"/>
      <c r="G10" s="16"/>
      <c r="H10" s="16"/>
      <c r="I10" s="16"/>
      <c r="J10" s="2"/>
    </row>
    <row r="11" spans="1:10" ht="12.75">
      <c r="A11" s="3" t="s">
        <v>6</v>
      </c>
      <c r="B11" s="16">
        <f>'C1'!B11</f>
        <v>0.6</v>
      </c>
      <c r="C11" s="12"/>
      <c r="D11" s="11"/>
      <c r="E11" s="16">
        <f>'C1'!E11</f>
        <v>0.6</v>
      </c>
      <c r="F11" s="16">
        <f>'C1'!F11</f>
        <v>0.7</v>
      </c>
      <c r="G11" s="16">
        <f>'C1'!G11</f>
        <v>0.7999999999999999</v>
      </c>
      <c r="H11" s="16">
        <f>'C1'!H11</f>
        <v>0.8999999999999999</v>
      </c>
      <c r="I11" s="16">
        <f>'C1'!I11</f>
        <v>1</v>
      </c>
      <c r="J11" s="19"/>
    </row>
    <row r="12" spans="1:10" ht="12.75">
      <c r="A12" s="3" t="s">
        <v>345</v>
      </c>
      <c r="B12" s="16"/>
      <c r="C12" s="12"/>
      <c r="D12" s="11"/>
      <c r="E12" s="50">
        <f>'C1'!E12</f>
        <v>1080</v>
      </c>
      <c r="F12" s="50">
        <f>'C1'!F12</f>
        <v>1260</v>
      </c>
      <c r="G12" s="50">
        <f>'C1'!G12</f>
        <v>1439.9999999999998</v>
      </c>
      <c r="H12" s="50">
        <f>'C1'!H12</f>
        <v>1619.9999999999998</v>
      </c>
      <c r="I12" s="50">
        <f>'C1'!I12</f>
        <v>1800</v>
      </c>
      <c r="J12" s="2"/>
    </row>
    <row r="13" spans="1:10" ht="12.75">
      <c r="A13" s="176" t="s">
        <v>346</v>
      </c>
      <c r="B13" s="16"/>
      <c r="C13" s="12"/>
      <c r="D13" s="11"/>
      <c r="E13" s="50">
        <f>'C1'!E13</f>
        <v>285120</v>
      </c>
      <c r="F13" s="50">
        <f>'C1'!F13</f>
        <v>332640</v>
      </c>
      <c r="G13" s="50">
        <f>'C1'!G13</f>
        <v>380159.99999999994</v>
      </c>
      <c r="H13" s="50">
        <f>'C1'!H13</f>
        <v>427679.99999999994</v>
      </c>
      <c r="I13" s="50">
        <f>'C1'!I13</f>
        <v>475200</v>
      </c>
      <c r="J13" s="2"/>
    </row>
    <row r="14" spans="1:10" ht="12.75">
      <c r="A14" s="3" t="s">
        <v>8</v>
      </c>
      <c r="B14" s="16">
        <f>'C1'!B14</f>
        <v>0.29</v>
      </c>
      <c r="C14" s="163"/>
      <c r="D14" s="78"/>
      <c r="E14" s="78">
        <f>'C1'!E14</f>
        <v>-82684.79999999999</v>
      </c>
      <c r="F14" s="78">
        <f>'C1'!F14</f>
        <v>-96465.59999999999</v>
      </c>
      <c r="G14" s="78">
        <f>'C1'!G14</f>
        <v>-110246.39999999998</v>
      </c>
      <c r="H14" s="78">
        <f>'C1'!H14</f>
        <v>-124027.19999999997</v>
      </c>
      <c r="I14" s="78">
        <f>'C1'!I14</f>
        <v>-137808</v>
      </c>
      <c r="J14" s="2"/>
    </row>
    <row r="15" spans="1:9" ht="18" customHeight="1" thickBot="1">
      <c r="A15" s="7" t="s">
        <v>9</v>
      </c>
      <c r="B15" s="16"/>
      <c r="C15" s="183"/>
      <c r="D15" s="164"/>
      <c r="E15" s="182">
        <f>'C1'!E15</f>
        <v>202435.2</v>
      </c>
      <c r="F15" s="182">
        <f>'C1'!F15</f>
        <v>236174.40000000002</v>
      </c>
      <c r="G15" s="182">
        <f>'C1'!G15</f>
        <v>269913.6</v>
      </c>
      <c r="H15" s="182">
        <f>'C1'!H15</f>
        <v>303652.8</v>
      </c>
      <c r="I15" s="182">
        <f>'C1'!I15</f>
        <v>337392</v>
      </c>
    </row>
    <row r="16" spans="1:9" ht="18.75" customHeight="1" thickTop="1">
      <c r="A16" s="7" t="s">
        <v>343</v>
      </c>
      <c r="B16" s="16"/>
      <c r="C16" s="12"/>
      <c r="D16" s="11"/>
      <c r="E16" s="50"/>
      <c r="F16" s="50"/>
      <c r="G16" s="50"/>
      <c r="H16" s="50"/>
      <c r="I16" s="50"/>
    </row>
    <row r="17" spans="1:9" ht="12.75">
      <c r="A17" s="3" t="s">
        <v>420</v>
      </c>
      <c r="B17" s="16">
        <f>'C1'!B17</f>
        <v>0.36</v>
      </c>
      <c r="C17" s="163"/>
      <c r="D17" s="11"/>
      <c r="E17" s="50">
        <f>'C1'!E17</f>
        <v>72876.672</v>
      </c>
      <c r="F17" s="50">
        <f>'C1'!F17</f>
        <v>85022.784</v>
      </c>
      <c r="G17" s="50">
        <f>'C1'!G17</f>
        <v>97168.896</v>
      </c>
      <c r="H17" s="50">
        <f>'C1'!H17</f>
        <v>109315.00799999999</v>
      </c>
      <c r="I17" s="50">
        <f>'C1'!I17</f>
        <v>121461.12</v>
      </c>
    </row>
    <row r="18" spans="1:9" ht="12.75">
      <c r="A18" s="3" t="s">
        <v>344</v>
      </c>
      <c r="B18" s="16">
        <f>'C1'!B18</f>
        <v>0.64</v>
      </c>
      <c r="C18" s="163"/>
      <c r="D18" s="165"/>
      <c r="E18" s="78">
        <f>'C1'!E18</f>
        <v>129558.528</v>
      </c>
      <c r="F18" s="78">
        <f>'C1'!F18</f>
        <v>151151.616</v>
      </c>
      <c r="G18" s="78">
        <f>'C1'!G18</f>
        <v>172744.704</v>
      </c>
      <c r="H18" s="78">
        <f>'C1'!H18</f>
        <v>194337.792</v>
      </c>
      <c r="I18" s="78">
        <f>'C1'!I18</f>
        <v>215930.88</v>
      </c>
    </row>
    <row r="19" spans="1:9" ht="18" customHeight="1" thickBot="1">
      <c r="A19" s="7" t="s">
        <v>349</v>
      </c>
      <c r="B19" s="16"/>
      <c r="C19" s="161"/>
      <c r="D19" s="180"/>
      <c r="E19" s="182">
        <f>'C1'!E19</f>
        <v>202435.2</v>
      </c>
      <c r="F19" s="182">
        <f>'C1'!F19</f>
        <v>236174.40000000002</v>
      </c>
      <c r="G19" s="182">
        <f>'C1'!G19</f>
        <v>269913.6</v>
      </c>
      <c r="H19" s="182">
        <f>'C1'!H19</f>
        <v>303652.8</v>
      </c>
      <c r="I19" s="182">
        <f>'C1'!I19</f>
        <v>337392</v>
      </c>
    </row>
    <row r="20" spans="2:9" ht="13.5" thickTop="1">
      <c r="B20" s="11"/>
      <c r="C20" s="12"/>
      <c r="D20" s="14"/>
      <c r="E20" s="14"/>
      <c r="F20" s="14"/>
      <c r="G20" s="14"/>
      <c r="H20" s="14"/>
      <c r="I20" s="14"/>
    </row>
    <row r="21" spans="1:9" s="172" customFormat="1" ht="18.75" customHeight="1">
      <c r="A21" s="7" t="s">
        <v>101</v>
      </c>
      <c r="B21" s="184"/>
      <c r="C21" s="185"/>
      <c r="D21" s="171"/>
      <c r="E21" s="171"/>
      <c r="F21" s="171"/>
      <c r="G21" s="171"/>
      <c r="H21" s="171"/>
      <c r="I21" s="171"/>
    </row>
    <row r="22" spans="1:9" s="172" customFormat="1" ht="12.75">
      <c r="A22" s="3" t="s">
        <v>525</v>
      </c>
      <c r="B22" s="184">
        <f>B28</f>
        <v>6300</v>
      </c>
      <c r="C22" s="185"/>
      <c r="D22" s="171"/>
      <c r="E22" s="171">
        <f>B22*E17</f>
        <v>459123033.6</v>
      </c>
      <c r="F22" s="171">
        <f>B22*F17</f>
        <v>535643539.2</v>
      </c>
      <c r="G22" s="171">
        <f>B22*G17</f>
        <v>612164044.8</v>
      </c>
      <c r="H22" s="171">
        <f>B22*H17</f>
        <v>688684550.4</v>
      </c>
      <c r="I22" s="171">
        <f>B22*I17</f>
        <v>765205056</v>
      </c>
    </row>
    <row r="23" spans="1:9" s="172" customFormat="1" ht="12.75">
      <c r="A23" s="3" t="s">
        <v>526</v>
      </c>
      <c r="B23" s="184">
        <f>B29</f>
        <v>5300</v>
      </c>
      <c r="C23" s="185"/>
      <c r="D23" s="171"/>
      <c r="E23" s="171">
        <f>B23*E18</f>
        <v>686660198.4</v>
      </c>
      <c r="F23" s="171">
        <f>B23*F18</f>
        <v>801103564.8000001</v>
      </c>
      <c r="G23" s="171">
        <f>B23*G18</f>
        <v>915546931.2</v>
      </c>
      <c r="H23" s="171">
        <f>B23*H18</f>
        <v>1029990297.5999999</v>
      </c>
      <c r="I23" s="171">
        <f>B23*I18</f>
        <v>1144433664</v>
      </c>
    </row>
    <row r="24" spans="1:10" s="172" customFormat="1" ht="18" customHeight="1" thickBot="1">
      <c r="A24" s="7" t="s">
        <v>102</v>
      </c>
      <c r="B24" s="166"/>
      <c r="C24" s="161"/>
      <c r="D24" s="179"/>
      <c r="E24" s="180">
        <f>SUM(E22:E23)</f>
        <v>1145783232</v>
      </c>
      <c r="F24" s="181">
        <f>SUM(F22:F23)</f>
        <v>1336747104</v>
      </c>
      <c r="G24" s="181">
        <f>SUM(G22:G23)</f>
        <v>1527710976</v>
      </c>
      <c r="H24" s="181">
        <f>SUM(H22:H23)</f>
        <v>1718674848</v>
      </c>
      <c r="I24" s="181">
        <f>SUM(I22:I23)</f>
        <v>1909638720</v>
      </c>
      <c r="J24" s="34"/>
    </row>
    <row r="25" spans="2:9" s="172" customFormat="1" ht="13.5" thickTop="1">
      <c r="B25" s="184"/>
      <c r="C25" s="185"/>
      <c r="D25" s="171"/>
      <c r="E25" s="17"/>
      <c r="F25" s="17"/>
      <c r="G25" s="17"/>
      <c r="H25" s="17"/>
      <c r="I25" s="17"/>
    </row>
    <row r="26" spans="1:9" s="172" customFormat="1" ht="12.75">
      <c r="A26" s="403" t="s">
        <v>447</v>
      </c>
      <c r="B26" s="184"/>
      <c r="C26" s="185"/>
      <c r="D26" s="171"/>
      <c r="E26" s="171"/>
      <c r="F26" s="171"/>
      <c r="G26" s="171"/>
      <c r="H26" s="171"/>
      <c r="I26" s="171"/>
    </row>
    <row r="27" spans="1:9" s="172" customFormat="1" ht="12.75">
      <c r="A27" s="404" t="s">
        <v>523</v>
      </c>
      <c r="B27" s="184"/>
      <c r="C27" s="185"/>
      <c r="D27" s="171"/>
      <c r="E27" s="171"/>
      <c r="F27" s="171"/>
      <c r="G27" s="171"/>
      <c r="H27" s="171"/>
      <c r="I27" s="171"/>
    </row>
    <row r="28" spans="1:9" ht="12.75">
      <c r="A28" s="340" t="s">
        <v>421</v>
      </c>
      <c r="B28" s="11">
        <v>6300</v>
      </c>
      <c r="C28" s="12"/>
      <c r="D28" s="14"/>
      <c r="E28" s="14"/>
      <c r="F28" s="14"/>
      <c r="G28" s="14"/>
      <c r="H28" s="14"/>
      <c r="I28" s="14"/>
    </row>
    <row r="29" spans="1:9" ht="12.75">
      <c r="A29" s="340" t="s">
        <v>10</v>
      </c>
      <c r="B29" s="11">
        <v>5300</v>
      </c>
      <c r="C29" s="12"/>
      <c r="D29" s="14"/>
      <c r="E29" s="14"/>
      <c r="F29" s="14"/>
      <c r="G29" s="14"/>
      <c r="H29" s="14"/>
      <c r="I29" s="14"/>
    </row>
    <row r="30" spans="1:9" ht="12.75">
      <c r="A30" s="340" t="s">
        <v>524</v>
      </c>
      <c r="B30" s="11"/>
      <c r="C30" s="12"/>
      <c r="D30" s="14"/>
      <c r="E30" s="14"/>
      <c r="F30" s="14"/>
      <c r="G30" s="14"/>
      <c r="H30" s="14"/>
      <c r="I30" s="14"/>
    </row>
    <row r="31" spans="1:9" ht="12.75">
      <c r="A31" s="340" t="s">
        <v>524</v>
      </c>
      <c r="B31" s="11"/>
      <c r="C31" s="12"/>
      <c r="D31" s="14"/>
      <c r="E31" s="14"/>
      <c r="F31" s="14"/>
      <c r="G31" s="14"/>
      <c r="H31" s="14"/>
      <c r="I31" s="14"/>
    </row>
    <row r="32" spans="1:3" ht="12.75">
      <c r="A32" s="340"/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</sheetData>
  <printOptions horizontalCentered="1" verticalCentered="1"/>
  <pageMargins left="0.75" right="0.75" top="1" bottom="1" header="0" footer="0"/>
  <pageSetup horizontalDpi="200" verticalDpi="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8.7109375" defaultRowHeight="12.75"/>
  <cols>
    <col min="1" max="1" width="27.421875" style="3" customWidth="1"/>
    <col min="2" max="2" width="10.140625" style="1" customWidth="1"/>
    <col min="3" max="3" width="0.42578125" style="1" customWidth="1"/>
    <col min="4" max="4" width="4.00390625" style="1" customWidth="1"/>
    <col min="5" max="5" width="0.42578125" style="1" customWidth="1"/>
    <col min="6" max="6" width="7.57421875" style="172" customWidth="1"/>
    <col min="7" max="7" width="13.140625" style="172" customWidth="1"/>
    <col min="8" max="8" width="12.8515625" style="172" customWidth="1"/>
    <col min="9" max="9" width="13.57421875" style="172" customWidth="1"/>
    <col min="10" max="10" width="13.421875" style="172" customWidth="1"/>
    <col min="11" max="11" width="13.140625" style="172" customWidth="1"/>
    <col min="12" max="13" width="13.421875" style="172" customWidth="1"/>
    <col min="14" max="16384" width="13.421875" style="1" customWidth="1"/>
  </cols>
  <sheetData>
    <row r="1" spans="1:13" s="398" customFormat="1" ht="24" customHeight="1">
      <c r="A1" s="397" t="s">
        <v>103</v>
      </c>
      <c r="F1" s="411"/>
      <c r="G1" s="411"/>
      <c r="H1" s="411"/>
      <c r="I1" s="411"/>
      <c r="J1" s="411"/>
      <c r="K1" s="411"/>
      <c r="L1" s="411"/>
      <c r="M1" s="411"/>
    </row>
    <row r="2" spans="1:13" s="398" customFormat="1" ht="24" customHeight="1">
      <c r="A2" s="400" t="s">
        <v>357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11"/>
      <c r="M2" s="411"/>
    </row>
    <row r="4" spans="2:11" ht="37.5" customHeight="1">
      <c r="B4" s="5" t="s">
        <v>263</v>
      </c>
      <c r="C4" s="6"/>
      <c r="D4" s="186" t="s">
        <v>67</v>
      </c>
      <c r="E4" s="187"/>
      <c r="F4" s="5" t="s">
        <v>3</v>
      </c>
      <c r="G4" s="5" t="s">
        <v>4</v>
      </c>
      <c r="H4" s="5" t="s">
        <v>97</v>
      </c>
      <c r="I4" s="5" t="s">
        <v>98</v>
      </c>
      <c r="J4" s="5" t="s">
        <v>99</v>
      </c>
      <c r="K4" s="5" t="s">
        <v>100</v>
      </c>
    </row>
    <row r="5" spans="1:11" ht="18" customHeight="1" thickBot="1">
      <c r="A5" s="7" t="s">
        <v>349</v>
      </c>
      <c r="B5" s="6"/>
      <c r="C5" s="6"/>
      <c r="D5" s="6"/>
      <c r="E5" s="6"/>
      <c r="F5" s="188"/>
      <c r="G5" s="188"/>
      <c r="H5" s="188"/>
      <c r="I5" s="188"/>
      <c r="J5" s="188"/>
      <c r="K5" s="188"/>
    </row>
    <row r="6" spans="1:5" ht="13.5" thickTop="1">
      <c r="A6" s="174" t="s">
        <v>104</v>
      </c>
      <c r="B6" s="172"/>
      <c r="C6" s="172"/>
      <c r="D6" s="172"/>
      <c r="E6" s="172"/>
    </row>
    <row r="7" spans="1:11" ht="12.75">
      <c r="A7" s="172" t="s">
        <v>105</v>
      </c>
      <c r="B7" s="194">
        <f>B37</f>
        <v>0.08</v>
      </c>
      <c r="C7" s="189"/>
      <c r="D7" s="190" t="s">
        <v>67</v>
      </c>
      <c r="E7" s="190"/>
      <c r="F7" s="184"/>
      <c r="G7" s="184">
        <f>B7*'C6F'!C12</f>
        <v>4320000</v>
      </c>
      <c r="H7" s="184">
        <f>B7*'C6F'!D12</f>
        <v>4752000</v>
      </c>
      <c r="I7" s="184">
        <f>B7*'C6F'!E12</f>
        <v>6679200</v>
      </c>
      <c r="J7" s="184">
        <f>B7*'C6F'!F12</f>
        <v>7347120.000000003</v>
      </c>
      <c r="K7" s="184">
        <f>B7*'C6F'!G12</f>
        <v>8081832.000000003</v>
      </c>
    </row>
    <row r="8" spans="1:11" ht="12.75">
      <c r="A8" s="172" t="s">
        <v>106</v>
      </c>
      <c r="B8" s="194">
        <f>B38</f>
        <v>0.02</v>
      </c>
      <c r="C8" s="189"/>
      <c r="D8" s="190" t="s">
        <v>67</v>
      </c>
      <c r="E8" s="190"/>
      <c r="F8" s="184"/>
      <c r="G8" s="184">
        <f>B8*'C6F'!C12</f>
        <v>1080000</v>
      </c>
      <c r="H8" s="184">
        <f>B8*'C6F'!D12</f>
        <v>1188000</v>
      </c>
      <c r="I8" s="184">
        <f>B8*'C6F'!E12</f>
        <v>1669800</v>
      </c>
      <c r="J8" s="184">
        <f>B8*'C6F'!F12</f>
        <v>1836780.0000000007</v>
      </c>
      <c r="K8" s="184">
        <f>B8*'C6F'!G12</f>
        <v>2020458.0000000007</v>
      </c>
    </row>
    <row r="9" spans="1:11" ht="12.75">
      <c r="A9" s="172" t="s">
        <v>107</v>
      </c>
      <c r="B9" s="194">
        <f>B39</f>
        <v>0.02</v>
      </c>
      <c r="C9" s="189"/>
      <c r="D9" s="190" t="s">
        <v>67</v>
      </c>
      <c r="E9" s="190"/>
      <c r="F9" s="184"/>
      <c r="G9" s="184">
        <f>B9*'C6F'!C12</f>
        <v>1080000</v>
      </c>
      <c r="H9" s="184">
        <f>B9*'C6F'!D12</f>
        <v>1188000</v>
      </c>
      <c r="I9" s="184">
        <f>B9*'C6F'!E12</f>
        <v>1669800</v>
      </c>
      <c r="J9" s="184">
        <f>B9*'C6F'!F12</f>
        <v>1836780.0000000007</v>
      </c>
      <c r="K9" s="184">
        <f>B9*'C6F'!G12</f>
        <v>2020458.0000000007</v>
      </c>
    </row>
    <row r="10" spans="1:11" ht="12.75">
      <c r="A10" s="172" t="s">
        <v>108</v>
      </c>
      <c r="B10" s="194">
        <f>B40</f>
        <v>0.01</v>
      </c>
      <c r="C10" s="189"/>
      <c r="D10" s="190" t="s">
        <v>67</v>
      </c>
      <c r="E10" s="190"/>
      <c r="F10" s="184"/>
      <c r="G10" s="184">
        <f>B10*'C6F'!C12</f>
        <v>540000</v>
      </c>
      <c r="H10" s="184">
        <f>B10*'C6F'!D12</f>
        <v>594000</v>
      </c>
      <c r="I10" s="184">
        <f>B10*'C6F'!E12</f>
        <v>834900</v>
      </c>
      <c r="J10" s="184">
        <f>B10*'C6F'!F12</f>
        <v>918390.0000000003</v>
      </c>
      <c r="K10" s="184">
        <f>B10*'C6F'!G12</f>
        <v>1010229.0000000003</v>
      </c>
    </row>
    <row r="11" spans="1:11" ht="12.75">
      <c r="A11" s="172" t="s">
        <v>110</v>
      </c>
      <c r="B11" s="184">
        <f>B41*B35</f>
        <v>15000000</v>
      </c>
      <c r="C11" s="172"/>
      <c r="D11" s="190" t="s">
        <v>67</v>
      </c>
      <c r="E11" s="190"/>
      <c r="F11" s="17"/>
      <c r="G11" s="184">
        <f>B11*B57</f>
        <v>4500000</v>
      </c>
      <c r="H11" s="184">
        <f>G11*(1+$B55)</f>
        <v>4725000</v>
      </c>
      <c r="I11" s="184">
        <f>H11*(1+$B55)</f>
        <v>4961250</v>
      </c>
      <c r="J11" s="184">
        <f>I11*(1+$B55)</f>
        <v>5209312.5</v>
      </c>
      <c r="K11" s="184">
        <f>J11*(1+$B55)</f>
        <v>5469778.125</v>
      </c>
    </row>
    <row r="12" spans="1:11" ht="12.75">
      <c r="A12" s="172" t="s">
        <v>322</v>
      </c>
      <c r="B12" s="184">
        <f>B42*B35</f>
        <v>9000000</v>
      </c>
      <c r="C12" s="172"/>
      <c r="D12" s="190" t="s">
        <v>67</v>
      </c>
      <c r="E12" s="190"/>
      <c r="F12" s="17"/>
      <c r="G12" s="184">
        <f>B12*B57</f>
        <v>2700000</v>
      </c>
      <c r="H12" s="184">
        <f>G12*(1+$B55)</f>
        <v>2835000</v>
      </c>
      <c r="I12" s="184">
        <f>H12*(1+$B55)</f>
        <v>2976750</v>
      </c>
      <c r="J12" s="184">
        <f>I12*(1+$B55)</f>
        <v>3125587.5</v>
      </c>
      <c r="K12" s="184">
        <f>J12*(1+$B55)</f>
        <v>3281866.875</v>
      </c>
    </row>
    <row r="13" spans="1:11" ht="12.75">
      <c r="A13" s="172" t="s">
        <v>109</v>
      </c>
      <c r="B13" s="184">
        <f>B43*SUM('C3'!M10:M12)</f>
        <v>39442420.0956</v>
      </c>
      <c r="C13" s="172"/>
      <c r="D13" s="190" t="s">
        <v>67</v>
      </c>
      <c r="E13" s="190"/>
      <c r="F13" s="184"/>
      <c r="G13" s="184">
        <f>B13*B57</f>
        <v>11832726.02868</v>
      </c>
      <c r="H13" s="184">
        <f>G13*(1+$B55)</f>
        <v>12424362.330114001</v>
      </c>
      <c r="I13" s="184">
        <f>H13*(1+$B55)</f>
        <v>13045580.446619703</v>
      </c>
      <c r="J13" s="184">
        <f>I13*(1+$B55)</f>
        <v>13697859.468950689</v>
      </c>
      <c r="K13" s="184">
        <f>J13*(1+$B55)</f>
        <v>14382752.442398224</v>
      </c>
    </row>
    <row r="14" spans="1:11" ht="12.75">
      <c r="A14" s="172" t="s">
        <v>288</v>
      </c>
      <c r="B14" s="184">
        <f>B44*B35</f>
        <v>23760000</v>
      </c>
      <c r="C14" s="172"/>
      <c r="D14" s="190" t="s">
        <v>67</v>
      </c>
      <c r="E14" s="190"/>
      <c r="F14" s="184"/>
      <c r="G14" s="184">
        <f>$B14*$B57*G59</f>
        <v>4276800</v>
      </c>
      <c r="H14" s="184">
        <f>$B14*$B57*H59*(1+$B55)</f>
        <v>5239080</v>
      </c>
      <c r="I14" s="184">
        <f>$B14*$B57*I59*(1+$B55)</f>
        <v>5987519.999999999</v>
      </c>
      <c r="J14" s="184">
        <f>$B14*$B57*J59*(1+$B55)</f>
        <v>6735959.999999999</v>
      </c>
      <c r="K14" s="184">
        <f>$B14*$B57*K59*(1+$B55)</f>
        <v>7484400</v>
      </c>
    </row>
    <row r="15" spans="1:11" ht="12.75">
      <c r="A15" s="172" t="s">
        <v>111</v>
      </c>
      <c r="B15" s="184">
        <f>B52*'C3'!M14</f>
        <v>9443484.01912</v>
      </c>
      <c r="C15" s="172"/>
      <c r="D15" s="191" t="s">
        <v>71</v>
      </c>
      <c r="E15" s="191"/>
      <c r="F15" s="17"/>
      <c r="G15" s="184">
        <f>B15</f>
        <v>9443484.01912</v>
      </c>
      <c r="H15" s="184">
        <f>G15*(1+$B55)</f>
        <v>9915658.220076</v>
      </c>
      <c r="I15" s="184">
        <f>H15*(1+$B55)</f>
        <v>10411441.1310798</v>
      </c>
      <c r="J15" s="184">
        <f>I15*(1+$B55)</f>
        <v>10932013.18763379</v>
      </c>
      <c r="K15" s="184">
        <f>J15*(1+$B55)</f>
        <v>11478613.84701548</v>
      </c>
    </row>
    <row r="16" spans="1:11" ht="12.75">
      <c r="A16" s="172" t="s">
        <v>42</v>
      </c>
      <c r="B16" s="194">
        <f>B54</f>
        <v>0.015</v>
      </c>
      <c r="C16" s="189"/>
      <c r="D16" s="191" t="s">
        <v>67</v>
      </c>
      <c r="E16" s="191"/>
      <c r="F16" s="192"/>
      <c r="G16" s="193">
        <v>5156024.544</v>
      </c>
      <c r="H16" s="193">
        <v>6015361.967999999</v>
      </c>
      <c r="I16" s="193">
        <v>6874699.392</v>
      </c>
      <c r="J16" s="193">
        <v>7734036.816</v>
      </c>
      <c r="K16" s="193">
        <v>8593374.24</v>
      </c>
    </row>
    <row r="17" spans="1:11" ht="18" customHeight="1" thickBot="1">
      <c r="A17" s="7" t="s">
        <v>112</v>
      </c>
      <c r="B17" s="178"/>
      <c r="C17" s="178"/>
      <c r="D17" s="178"/>
      <c r="E17" s="178"/>
      <c r="F17" s="164"/>
      <c r="G17" s="164">
        <f>SUM(G7:G16)</f>
        <v>44929034.591800004</v>
      </c>
      <c r="H17" s="164">
        <f>SUM(H7:H16)</f>
        <v>48876462.518190004</v>
      </c>
      <c r="I17" s="164">
        <f>SUM(I7:I16)</f>
        <v>55110940.9696995</v>
      </c>
      <c r="J17" s="164">
        <f>SUM(J7:J16)</f>
        <v>59373839.47258448</v>
      </c>
      <c r="K17" s="164">
        <f>SUM(K7:K16)</f>
        <v>63823762.52941371</v>
      </c>
    </row>
    <row r="18" spans="1:11" ht="13.5" thickTop="1">
      <c r="A18" s="174" t="s">
        <v>113</v>
      </c>
      <c r="B18" s="172"/>
      <c r="C18" s="172"/>
      <c r="D18" s="172"/>
      <c r="E18" s="172"/>
      <c r="F18" s="184"/>
      <c r="G18" s="184"/>
      <c r="H18" s="184"/>
      <c r="I18" s="184"/>
      <c r="J18" s="184"/>
      <c r="K18" s="184"/>
    </row>
    <row r="19" spans="1:11" ht="12.75">
      <c r="A19" s="172" t="s">
        <v>105</v>
      </c>
      <c r="B19" s="194">
        <f>B37</f>
        <v>0.08</v>
      </c>
      <c r="C19" s="189"/>
      <c r="D19" s="191" t="s">
        <v>67</v>
      </c>
      <c r="E19" s="191"/>
      <c r="F19" s="184"/>
      <c r="G19" s="184">
        <f>B19*'C6F'!C13</f>
        <v>6480000</v>
      </c>
      <c r="H19" s="184">
        <f>B19*'C6F'!D13</f>
        <v>7656000.000000001</v>
      </c>
      <c r="I19" s="184">
        <f>B19*'C6F'!E13</f>
        <v>9873600.000000002</v>
      </c>
      <c r="J19" s="184">
        <f>B19*'C6F'!F13</f>
        <v>11499840.000000006</v>
      </c>
      <c r="K19" s="184">
        <f>B19*'C6F'!G13</f>
        <v>13352592.000000006</v>
      </c>
    </row>
    <row r="20" spans="1:11" ht="12.75">
      <c r="A20" s="172" t="s">
        <v>106</v>
      </c>
      <c r="B20" s="194">
        <f>B38</f>
        <v>0.02</v>
      </c>
      <c r="C20" s="189"/>
      <c r="D20" s="191" t="s">
        <v>67</v>
      </c>
      <c r="E20" s="191"/>
      <c r="F20" s="184"/>
      <c r="G20" s="184">
        <f>B20*'C6F'!C13</f>
        <v>1620000</v>
      </c>
      <c r="H20" s="184">
        <f>B20*'C6F'!D13</f>
        <v>1914000.0000000002</v>
      </c>
      <c r="I20" s="184">
        <f>B20*'C6F'!E13</f>
        <v>2468400.0000000005</v>
      </c>
      <c r="J20" s="184">
        <f>B20*'C6F'!F13</f>
        <v>2874960.0000000014</v>
      </c>
      <c r="K20" s="184">
        <f>B20*'C6F'!G13</f>
        <v>3338148.0000000014</v>
      </c>
    </row>
    <row r="21" spans="1:11" ht="12.75">
      <c r="A21" s="172" t="s">
        <v>107</v>
      </c>
      <c r="B21" s="194">
        <f>B39</f>
        <v>0.02</v>
      </c>
      <c r="C21" s="189"/>
      <c r="D21" s="191" t="s">
        <v>67</v>
      </c>
      <c r="E21" s="191"/>
      <c r="F21" s="184"/>
      <c r="G21" s="184">
        <f>B21*'C6F'!C13</f>
        <v>1620000</v>
      </c>
      <c r="H21" s="184">
        <f>B21*'C6F'!D13</f>
        <v>1914000.0000000002</v>
      </c>
      <c r="I21" s="184">
        <f>B21*'C6F'!E13</f>
        <v>2468400.0000000005</v>
      </c>
      <c r="J21" s="184">
        <f>B21*'C6F'!F13</f>
        <v>2874960.0000000014</v>
      </c>
      <c r="K21" s="184">
        <f>B21*'C6F'!G13</f>
        <v>3338148.0000000014</v>
      </c>
    </row>
    <row r="22" spans="1:11" ht="12.75">
      <c r="A22" s="172" t="s">
        <v>108</v>
      </c>
      <c r="B22" s="194">
        <f>B40</f>
        <v>0.01</v>
      </c>
      <c r="C22" s="189"/>
      <c r="D22" s="191" t="s">
        <v>67</v>
      </c>
      <c r="E22" s="191"/>
      <c r="F22" s="184"/>
      <c r="G22" s="184">
        <f>B22*'C6F'!C13</f>
        <v>810000</v>
      </c>
      <c r="H22" s="184">
        <f>B22*'C6F'!D13</f>
        <v>957000.0000000001</v>
      </c>
      <c r="I22" s="184">
        <f>B22*'C6F'!E13</f>
        <v>1234200.0000000002</v>
      </c>
      <c r="J22" s="184">
        <f>B22*'C6F'!F13</f>
        <v>1437480.0000000007</v>
      </c>
      <c r="K22" s="184">
        <f>B22*'C6F'!G13</f>
        <v>1669074.0000000007</v>
      </c>
    </row>
    <row r="23" spans="1:11" ht="12.75">
      <c r="A23" s="172" t="s">
        <v>110</v>
      </c>
      <c r="B23" s="184">
        <f>B41*B35</f>
        <v>15000000</v>
      </c>
      <c r="C23" s="172"/>
      <c r="D23" s="191" t="s">
        <v>67</v>
      </c>
      <c r="E23" s="191"/>
      <c r="F23" s="184"/>
      <c r="G23" s="184">
        <f>B23*B58</f>
        <v>10500000</v>
      </c>
      <c r="H23" s="184">
        <f>G23*(1+$B55)</f>
        <v>11025000</v>
      </c>
      <c r="I23" s="184">
        <f>H23*(1+$B55)</f>
        <v>11576250</v>
      </c>
      <c r="J23" s="184">
        <f>I23*(1+$B55)</f>
        <v>12155062.5</v>
      </c>
      <c r="K23" s="184">
        <f>J23*(1+$B55)</f>
        <v>12762815.625</v>
      </c>
    </row>
    <row r="24" spans="1:11" ht="12.75">
      <c r="A24" s="172" t="s">
        <v>322</v>
      </c>
      <c r="B24" s="184">
        <f>B42*B35</f>
        <v>9000000</v>
      </c>
      <c r="C24" s="172"/>
      <c r="D24" s="191" t="s">
        <v>67</v>
      </c>
      <c r="E24" s="191"/>
      <c r="F24" s="184"/>
      <c r="G24" s="184">
        <f>B24*B58</f>
        <v>6300000</v>
      </c>
      <c r="H24" s="184">
        <f>G24*(1+$B55)</f>
        <v>6615000</v>
      </c>
      <c r="I24" s="184">
        <f>H24*(1+$B55)</f>
        <v>6945750</v>
      </c>
      <c r="J24" s="184">
        <f>I24*(1+$B55)</f>
        <v>7293037.5</v>
      </c>
      <c r="K24" s="184">
        <f>J24*(1+$B55)</f>
        <v>7657689.375</v>
      </c>
    </row>
    <row r="25" spans="1:11" ht="12.75">
      <c r="A25" s="172" t="s">
        <v>109</v>
      </c>
      <c r="B25" s="184">
        <f>B43*SUM('C3'!M10:M12)</f>
        <v>39442420.0956</v>
      </c>
      <c r="C25" s="172"/>
      <c r="D25" s="191" t="s">
        <v>67</v>
      </c>
      <c r="E25" s="191"/>
      <c r="F25" s="184"/>
      <c r="G25" s="184">
        <f>B25*B58</f>
        <v>27609694.06692</v>
      </c>
      <c r="H25" s="184">
        <f>G25*(1+$B55)</f>
        <v>28990178.770266004</v>
      </c>
      <c r="I25" s="184">
        <f>H25*(1+$B55)</f>
        <v>30439687.708779305</v>
      </c>
      <c r="J25" s="184">
        <f>I25*(1+$B55)</f>
        <v>31961672.094218273</v>
      </c>
      <c r="K25" s="184">
        <f>J25*(1+$B55)</f>
        <v>33559755.69892919</v>
      </c>
    </row>
    <row r="26" spans="1:11" ht="12.75">
      <c r="A26" s="172" t="s">
        <v>288</v>
      </c>
      <c r="B26" s="184">
        <f>B44*B35</f>
        <v>23760000</v>
      </c>
      <c r="C26" s="172"/>
      <c r="D26" s="191" t="s">
        <v>67</v>
      </c>
      <c r="E26" s="191"/>
      <c r="F26" s="184"/>
      <c r="G26" s="184">
        <f>$B26*$B58*G59</f>
        <v>9979199.999999998</v>
      </c>
      <c r="H26" s="184">
        <f>$B26*$B58*H59*(1+$B55)</f>
        <v>12224519.999999998</v>
      </c>
      <c r="I26" s="184">
        <f>$B26*$B58*I59*(1+$B55)</f>
        <v>13970879.999999998</v>
      </c>
      <c r="J26" s="184">
        <f>$B26*$B58*J59*(1+$B55)</f>
        <v>15717239.999999996</v>
      </c>
      <c r="K26" s="184">
        <f>$B26*$B58*K59*(1+$B55)</f>
        <v>17463600</v>
      </c>
    </row>
    <row r="27" spans="1:11" ht="12.75">
      <c r="A27" s="172" t="s">
        <v>289</v>
      </c>
      <c r="B27" s="184">
        <f>B47*B35</f>
        <v>11404800</v>
      </c>
      <c r="C27" s="172"/>
      <c r="D27" s="191" t="s">
        <v>73</v>
      </c>
      <c r="E27" s="191"/>
      <c r="F27" s="184"/>
      <c r="G27" s="184">
        <f>$B27*G59</f>
        <v>6842880</v>
      </c>
      <c r="H27" s="184">
        <f>$B27*H59*(1+$B55)</f>
        <v>8382527.999999999</v>
      </c>
      <c r="I27" s="184">
        <f>$B27*I59*(1+$B55)</f>
        <v>9580032</v>
      </c>
      <c r="J27" s="184">
        <f>$B27*J59*(1+$B55)</f>
        <v>10777535.999999998</v>
      </c>
      <c r="K27" s="184">
        <f>$B27*K59*(1+$B55)</f>
        <v>11975040</v>
      </c>
    </row>
    <row r="28" spans="1:11" ht="12.75">
      <c r="A28" s="172" t="s">
        <v>323</v>
      </c>
      <c r="B28" s="184">
        <f>B51*B35</f>
        <v>30000000</v>
      </c>
      <c r="C28" s="172"/>
      <c r="D28" s="191" t="s">
        <v>73</v>
      </c>
      <c r="E28" s="191"/>
      <c r="F28" s="184"/>
      <c r="G28" s="184">
        <f>$B28*G59</f>
        <v>18000000</v>
      </c>
      <c r="H28" s="184">
        <f>$B28*H59*(1+$B55)</f>
        <v>22050000</v>
      </c>
      <c r="I28" s="184">
        <f>$B28*I59*(1+$B55)</f>
        <v>25199999.999999996</v>
      </c>
      <c r="J28" s="184">
        <f>$B28*J59*(1+$B55)</f>
        <v>28349999.999999996</v>
      </c>
      <c r="K28" s="184">
        <f>$B28*K59*(1+$B55)</f>
        <v>31500000</v>
      </c>
    </row>
    <row r="29" spans="1:11" ht="12.75">
      <c r="A29" s="172" t="s">
        <v>306</v>
      </c>
      <c r="B29" s="194">
        <f>B53</f>
        <v>0.005</v>
      </c>
      <c r="C29" s="189"/>
      <c r="D29" s="190" t="s">
        <v>73</v>
      </c>
      <c r="E29" s="190"/>
      <c r="F29" s="184"/>
      <c r="G29" s="184">
        <v>5728916.16</v>
      </c>
      <c r="H29" s="184">
        <v>6683735.5200000005</v>
      </c>
      <c r="I29" s="184">
        <v>7638554.88</v>
      </c>
      <c r="J29" s="184">
        <v>8593374.24</v>
      </c>
      <c r="K29" s="184">
        <v>9548193.6</v>
      </c>
    </row>
    <row r="30" spans="1:11" ht="12.75">
      <c r="A30" s="172" t="s">
        <v>42</v>
      </c>
      <c r="B30" s="194">
        <f>B54</f>
        <v>0.015</v>
      </c>
      <c r="C30" s="189"/>
      <c r="D30" s="191" t="s">
        <v>67</v>
      </c>
      <c r="E30" s="191"/>
      <c r="F30" s="193"/>
      <c r="G30" s="193">
        <v>12030723.935999999</v>
      </c>
      <c r="H30" s="193">
        <v>14035844.591999998</v>
      </c>
      <c r="I30" s="193">
        <v>16040965.248</v>
      </c>
      <c r="J30" s="193">
        <v>18046085.904</v>
      </c>
      <c r="K30" s="193">
        <v>20051206.56</v>
      </c>
    </row>
    <row r="31" spans="1:11" ht="18" customHeight="1" thickBot="1">
      <c r="A31" s="7" t="s">
        <v>114</v>
      </c>
      <c r="B31" s="178"/>
      <c r="C31" s="178"/>
      <c r="D31" s="178"/>
      <c r="E31" s="178"/>
      <c r="F31" s="164"/>
      <c r="G31" s="164">
        <f>SUM(G19:G30)</f>
        <v>107521414.16292</v>
      </c>
      <c r="H31" s="164">
        <f>SUM(H19:H30)</f>
        <v>122447806.88226599</v>
      </c>
      <c r="I31" s="164">
        <f>SUM(I19:I30)</f>
        <v>137436719.8367793</v>
      </c>
      <c r="J31" s="164">
        <f>SUM(J19:J30)</f>
        <v>151581248.23821828</v>
      </c>
      <c r="K31" s="164">
        <f>SUM(K19:K30)</f>
        <v>166216262.8589292</v>
      </c>
    </row>
    <row r="32" spans="1:11" ht="18" customHeight="1" thickBot="1" thickTop="1">
      <c r="A32" s="7" t="s">
        <v>391</v>
      </c>
      <c r="B32" s="178"/>
      <c r="C32" s="178"/>
      <c r="D32" s="178"/>
      <c r="E32" s="178"/>
      <c r="F32" s="164"/>
      <c r="G32" s="164">
        <f>G17+G31</f>
        <v>152450448.75472</v>
      </c>
      <c r="H32" s="164">
        <f>H17+H31</f>
        <v>171324269.40045598</v>
      </c>
      <c r="I32" s="164">
        <f>I17+I31</f>
        <v>192547660.8064788</v>
      </c>
      <c r="J32" s="164">
        <f>J17+J31</f>
        <v>210955087.71080276</v>
      </c>
      <c r="K32" s="164">
        <f>K17+K31</f>
        <v>230040025.3883429</v>
      </c>
    </row>
    <row r="33" spans="1:5" ht="13.5" thickTop="1">
      <c r="A33" s="172"/>
      <c r="B33" s="172"/>
      <c r="C33" s="172"/>
      <c r="D33" s="172"/>
      <c r="E33" s="172"/>
    </row>
    <row r="34" spans="1:5" ht="12.75">
      <c r="A34" s="403" t="s">
        <v>447</v>
      </c>
      <c r="B34" s="172"/>
      <c r="C34" s="172"/>
      <c r="D34" s="172"/>
      <c r="E34" s="172"/>
    </row>
    <row r="35" spans="1:5" ht="12.75">
      <c r="A35" s="404" t="s">
        <v>468</v>
      </c>
      <c r="B35" s="184">
        <f>'C1'!B31</f>
        <v>12</v>
      </c>
      <c r="C35" s="172"/>
      <c r="D35" s="404" t="s">
        <v>454</v>
      </c>
      <c r="E35" s="172"/>
    </row>
    <row r="36" spans="1:5" ht="12.75">
      <c r="A36" s="404" t="s">
        <v>467</v>
      </c>
      <c r="B36" s="195">
        <f>'C1'!B30</f>
        <v>22</v>
      </c>
      <c r="C36" s="196"/>
      <c r="D36" s="404" t="s">
        <v>548</v>
      </c>
      <c r="E36" s="172"/>
    </row>
    <row r="37" spans="1:5" ht="12.75">
      <c r="A37" s="404" t="s">
        <v>527</v>
      </c>
      <c r="B37" s="194">
        <v>0.08</v>
      </c>
      <c r="C37" s="197"/>
      <c r="D37" s="404" t="s">
        <v>542</v>
      </c>
      <c r="E37" s="172"/>
    </row>
    <row r="38" spans="1:5" ht="12.75">
      <c r="A38" s="404" t="s">
        <v>528</v>
      </c>
      <c r="B38" s="194">
        <v>0.02</v>
      </c>
      <c r="C38" s="197"/>
      <c r="D38" s="404" t="s">
        <v>542</v>
      </c>
      <c r="E38" s="172"/>
    </row>
    <row r="39" spans="1:5" ht="12.75">
      <c r="A39" s="404" t="s">
        <v>549</v>
      </c>
      <c r="B39" s="194">
        <v>0.02</v>
      </c>
      <c r="C39" s="197"/>
      <c r="D39" s="404" t="s">
        <v>542</v>
      </c>
      <c r="E39" s="172"/>
    </row>
    <row r="40" spans="1:5" ht="12.75">
      <c r="A40" s="404" t="s">
        <v>529</v>
      </c>
      <c r="B40" s="194">
        <v>0.01</v>
      </c>
      <c r="C40" s="197"/>
      <c r="D40" s="404" t="s">
        <v>542</v>
      </c>
      <c r="E40" s="172"/>
    </row>
    <row r="41" spans="1:5" ht="12.75">
      <c r="A41" s="404" t="s">
        <v>530</v>
      </c>
      <c r="B41" s="198">
        <v>1250000</v>
      </c>
      <c r="C41" s="199"/>
      <c r="D41" s="404" t="s">
        <v>550</v>
      </c>
      <c r="E41" s="172"/>
    </row>
    <row r="42" spans="1:5" ht="12.75">
      <c r="A42" s="404" t="s">
        <v>551</v>
      </c>
      <c r="B42" s="198">
        <v>750000</v>
      </c>
      <c r="C42" s="199"/>
      <c r="D42" s="404" t="s">
        <v>550</v>
      </c>
      <c r="E42" s="172"/>
    </row>
    <row r="43" spans="1:5" ht="12.75">
      <c r="A43" s="404" t="s">
        <v>531</v>
      </c>
      <c r="B43" s="194">
        <v>0.05</v>
      </c>
      <c r="C43" s="197"/>
      <c r="D43" s="404" t="s">
        <v>552</v>
      </c>
      <c r="E43" s="172"/>
    </row>
    <row r="44" spans="1:8" ht="12.75">
      <c r="A44" s="404" t="s">
        <v>553</v>
      </c>
      <c r="B44" s="200">
        <f>B45*B46*B36</f>
        <v>1980000</v>
      </c>
      <c r="C44" s="199"/>
      <c r="D44" s="404" t="s">
        <v>554</v>
      </c>
      <c r="E44" s="172"/>
      <c r="H44" s="1"/>
    </row>
    <row r="45" spans="1:8" ht="12.75">
      <c r="A45" s="404" t="s">
        <v>555</v>
      </c>
      <c r="B45" s="200">
        <v>1500</v>
      </c>
      <c r="C45" s="199"/>
      <c r="D45" s="404" t="s">
        <v>556</v>
      </c>
      <c r="E45" s="172"/>
      <c r="H45" s="1"/>
    </row>
    <row r="46" spans="1:8" ht="12.75">
      <c r="A46" s="404" t="s">
        <v>557</v>
      </c>
      <c r="B46" s="200">
        <v>60</v>
      </c>
      <c r="C46" s="199"/>
      <c r="D46" s="404" t="s">
        <v>558</v>
      </c>
      <c r="E46" s="172"/>
      <c r="H46" s="1"/>
    </row>
    <row r="47" spans="1:8" ht="12.75">
      <c r="A47" s="404" t="s">
        <v>532</v>
      </c>
      <c r="B47" s="200">
        <f>B48*B49*B50*B36</f>
        <v>950400</v>
      </c>
      <c r="C47" s="199"/>
      <c r="D47" s="404" t="s">
        <v>554</v>
      </c>
      <c r="E47" s="172"/>
      <c r="H47" s="1"/>
    </row>
    <row r="48" spans="1:8" ht="12.75">
      <c r="A48" s="404" t="s">
        <v>555</v>
      </c>
      <c r="B48" s="200">
        <v>120</v>
      </c>
      <c r="C48" s="199"/>
      <c r="D48" s="404" t="s">
        <v>559</v>
      </c>
      <c r="E48" s="172"/>
      <c r="H48" s="1"/>
    </row>
    <row r="49" spans="1:8" ht="12.75">
      <c r="A49" s="404" t="s">
        <v>533</v>
      </c>
      <c r="B49" s="200">
        <v>90</v>
      </c>
      <c r="C49" s="199"/>
      <c r="D49" s="404" t="s">
        <v>560</v>
      </c>
      <c r="E49" s="172"/>
      <c r="H49" s="1"/>
    </row>
    <row r="50" spans="1:8" ht="12.75">
      <c r="A50" s="404" t="s">
        <v>561</v>
      </c>
      <c r="B50" s="200">
        <v>4</v>
      </c>
      <c r="C50" s="199"/>
      <c r="D50" s="404" t="s">
        <v>562</v>
      </c>
      <c r="E50" s="172"/>
      <c r="H50" s="1"/>
    </row>
    <row r="51" spans="1:5" ht="12.75">
      <c r="A51" s="404" t="s">
        <v>534</v>
      </c>
      <c r="B51" s="200">
        <v>2500000</v>
      </c>
      <c r="C51" s="199"/>
      <c r="D51" s="404" t="s">
        <v>554</v>
      </c>
      <c r="E51" s="172"/>
    </row>
    <row r="52" spans="1:5" ht="12.75">
      <c r="A52" s="404" t="s">
        <v>535</v>
      </c>
      <c r="B52" s="194">
        <v>0.01</v>
      </c>
      <c r="C52" s="189"/>
      <c r="D52" s="404" t="s">
        <v>543</v>
      </c>
      <c r="E52" s="172"/>
    </row>
    <row r="53" spans="1:5" ht="12.75">
      <c r="A53" s="404" t="s">
        <v>536</v>
      </c>
      <c r="B53" s="194">
        <v>0.005</v>
      </c>
      <c r="C53" s="189"/>
      <c r="D53" s="404" t="s">
        <v>544</v>
      </c>
      <c r="E53" s="172"/>
    </row>
    <row r="54" spans="1:5" ht="12.75">
      <c r="A54" s="404" t="s">
        <v>537</v>
      </c>
      <c r="B54" s="194">
        <v>0.015</v>
      </c>
      <c r="C54" s="75"/>
      <c r="D54" s="404" t="s">
        <v>544</v>
      </c>
      <c r="E54" s="172"/>
    </row>
    <row r="55" spans="1:4" ht="12.75">
      <c r="A55" s="404" t="s">
        <v>538</v>
      </c>
      <c r="B55" s="194">
        <v>0.05</v>
      </c>
      <c r="C55" s="189"/>
      <c r="D55" s="347" t="s">
        <v>545</v>
      </c>
    </row>
    <row r="56" spans="1:5" ht="12.75">
      <c r="A56" s="404"/>
      <c r="B56" s="194"/>
      <c r="C56" s="189"/>
      <c r="D56" s="404" t="s">
        <v>546</v>
      </c>
      <c r="E56" s="172"/>
    </row>
    <row r="57" spans="1:5" ht="12.75">
      <c r="A57" s="404" t="s">
        <v>539</v>
      </c>
      <c r="B57" s="194">
        <v>0.3</v>
      </c>
      <c r="C57" s="189"/>
      <c r="D57" s="404" t="s">
        <v>547</v>
      </c>
      <c r="E57" s="172"/>
    </row>
    <row r="58" spans="1:5" ht="12.75">
      <c r="A58" s="404" t="s">
        <v>540</v>
      </c>
      <c r="B58" s="194">
        <v>0.7</v>
      </c>
      <c r="C58" s="189"/>
      <c r="D58" s="404" t="s">
        <v>563</v>
      </c>
      <c r="E58" s="172"/>
    </row>
    <row r="59" spans="1:12" ht="12.75">
      <c r="A59" s="404" t="s">
        <v>541</v>
      </c>
      <c r="B59" s="201"/>
      <c r="C59" s="39"/>
      <c r="D59" s="39"/>
      <c r="E59" s="39"/>
      <c r="G59" s="194">
        <f>'C1'!E11</f>
        <v>0.6</v>
      </c>
      <c r="H59" s="194">
        <f>'C1'!F11</f>
        <v>0.7</v>
      </c>
      <c r="I59" s="194">
        <f>'C1'!G11</f>
        <v>0.7999999999999999</v>
      </c>
      <c r="J59" s="194">
        <f>'C1'!H11</f>
        <v>0.8999999999999999</v>
      </c>
      <c r="K59" s="194">
        <f>'C1'!I11</f>
        <v>1</v>
      </c>
      <c r="L59" s="189"/>
    </row>
    <row r="60" spans="1:5" ht="12.75">
      <c r="A60" s="172"/>
      <c r="B60" s="202"/>
      <c r="C60" s="172"/>
      <c r="D60" s="172"/>
      <c r="E60" s="172"/>
    </row>
    <row r="61" spans="1:5" ht="12.75">
      <c r="A61" s="172"/>
      <c r="B61" s="199"/>
      <c r="C61" s="172"/>
      <c r="D61" s="172"/>
      <c r="E61" s="172"/>
    </row>
    <row r="62" spans="1:5" ht="12.75">
      <c r="A62" s="172"/>
      <c r="B62" s="172"/>
      <c r="C62" s="172"/>
      <c r="D62" s="172"/>
      <c r="E62" s="172"/>
    </row>
    <row r="63" spans="1:5" ht="12.75">
      <c r="A63" s="172"/>
      <c r="B63" s="172"/>
      <c r="C63" s="172"/>
      <c r="D63" s="172"/>
      <c r="E63" s="172"/>
    </row>
    <row r="64" spans="1:5" ht="12.75">
      <c r="A64" s="172"/>
      <c r="B64" s="172"/>
      <c r="C64" s="172"/>
      <c r="D64" s="172"/>
      <c r="E64" s="172"/>
    </row>
    <row r="65" spans="1:5" ht="12.75">
      <c r="A65" s="172"/>
      <c r="B65" s="172"/>
      <c r="C65" s="172"/>
      <c r="D65" s="172"/>
      <c r="E65" s="172"/>
    </row>
    <row r="66" spans="1:5" ht="12.75">
      <c r="A66" s="172"/>
      <c r="B66" s="172"/>
      <c r="C66" s="172"/>
      <c r="D66" s="172"/>
      <c r="E66" s="172"/>
    </row>
    <row r="67" spans="1:5" ht="12.75">
      <c r="A67" s="172"/>
      <c r="B67" s="172"/>
      <c r="C67" s="172"/>
      <c r="D67" s="172"/>
      <c r="E67" s="172"/>
    </row>
    <row r="68" spans="1:5" ht="12.75">
      <c r="A68" s="172"/>
      <c r="B68" s="172"/>
      <c r="C68" s="172"/>
      <c r="D68" s="172"/>
      <c r="E68" s="172"/>
    </row>
    <row r="69" spans="1:5" ht="12.75">
      <c r="A69" s="172"/>
      <c r="B69" s="172"/>
      <c r="C69" s="172"/>
      <c r="D69" s="172"/>
      <c r="E69" s="172"/>
    </row>
    <row r="70" spans="1:5" ht="12.75">
      <c r="A70" s="172"/>
      <c r="B70" s="172"/>
      <c r="C70" s="172"/>
      <c r="D70" s="172"/>
      <c r="E70" s="172"/>
    </row>
    <row r="71" spans="1:5" ht="12.75">
      <c r="A71" s="172"/>
      <c r="B71" s="172"/>
      <c r="C71" s="172"/>
      <c r="D71" s="172"/>
      <c r="E71" s="172"/>
    </row>
    <row r="72" spans="1:5" ht="12.75">
      <c r="A72" s="172"/>
      <c r="B72" s="172"/>
      <c r="C72" s="172"/>
      <c r="D72" s="172"/>
      <c r="E72" s="172"/>
    </row>
    <row r="73" spans="1:5" ht="12.75">
      <c r="A73" s="172"/>
      <c r="B73" s="172"/>
      <c r="C73" s="172"/>
      <c r="D73" s="172"/>
      <c r="E73" s="172"/>
    </row>
    <row r="74" spans="1:5" ht="12.75">
      <c r="A74" s="172"/>
      <c r="B74" s="172"/>
      <c r="C74" s="172"/>
      <c r="D74" s="172"/>
      <c r="E74" s="172"/>
    </row>
  </sheetData>
  <printOptions horizontalCentered="1" verticalCentered="1"/>
  <pageMargins left="0.3937007874015748" right="0.75" top="1" bottom="1" header="0" footer="0"/>
  <pageSetup horizontalDpi="300" verticalDpi="3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40" customWidth="1"/>
    <col min="2" max="2" width="31.28125" style="40" customWidth="1"/>
    <col min="3" max="3" width="15.8515625" style="40" customWidth="1"/>
    <col min="4" max="4" width="15.7109375" style="40" customWidth="1"/>
    <col min="5" max="5" width="15.8515625" style="40" customWidth="1"/>
    <col min="6" max="6" width="15.421875" style="40" customWidth="1"/>
    <col min="7" max="7" width="15.00390625" style="40" customWidth="1"/>
    <col min="8" max="8" width="14.421875" style="40" customWidth="1"/>
    <col min="9" max="16384" width="11.421875" style="40" customWidth="1"/>
  </cols>
  <sheetData>
    <row r="1" s="377" customFormat="1" ht="24" customHeight="1">
      <c r="A1" s="352" t="s">
        <v>385</v>
      </c>
    </row>
    <row r="2" spans="2:8" s="377" customFormat="1" ht="24" customHeight="1">
      <c r="B2" s="378" t="s">
        <v>115</v>
      </c>
      <c r="C2" s="378"/>
      <c r="D2" s="378"/>
      <c r="E2" s="378"/>
      <c r="F2" s="378"/>
      <c r="G2" s="378"/>
      <c r="H2" s="378"/>
    </row>
    <row r="3" spans="2:8" ht="15.75">
      <c r="B3" s="203" t="s">
        <v>116</v>
      </c>
      <c r="C3" s="73"/>
      <c r="D3" s="73"/>
      <c r="E3" s="73"/>
      <c r="F3" s="73"/>
      <c r="G3" s="73"/>
      <c r="H3" s="73"/>
    </row>
    <row r="4" spans="2:8" ht="12.75">
      <c r="B4" s="48"/>
      <c r="C4" s="48"/>
      <c r="D4" s="48"/>
      <c r="E4" s="48"/>
      <c r="F4" s="48"/>
      <c r="G4" s="48"/>
      <c r="H4" s="48"/>
    </row>
    <row r="5" spans="2:8" ht="37.5" customHeight="1">
      <c r="B5" s="48"/>
      <c r="C5" s="46" t="s">
        <v>117</v>
      </c>
      <c r="D5" s="46" t="s">
        <v>617</v>
      </c>
      <c r="E5" s="46" t="s">
        <v>616</v>
      </c>
      <c r="F5" s="46" t="s">
        <v>615</v>
      </c>
      <c r="G5" s="5" t="s">
        <v>614</v>
      </c>
      <c r="H5" s="46" t="s">
        <v>100</v>
      </c>
    </row>
    <row r="6" spans="1:8" ht="18" customHeight="1">
      <c r="A6" s="59"/>
      <c r="B6" s="52" t="s">
        <v>349</v>
      </c>
      <c r="C6" s="204"/>
      <c r="D6" s="204">
        <f>'C1'!E19</f>
        <v>202435.2</v>
      </c>
      <c r="E6" s="204">
        <f>'C1'!F19</f>
        <v>236174.40000000002</v>
      </c>
      <c r="F6" s="204">
        <f>'C1'!G19</f>
        <v>269913.6</v>
      </c>
      <c r="G6" s="204">
        <f>'C1'!H19</f>
        <v>303652.8</v>
      </c>
      <c r="H6" s="204">
        <f>'C1'!I19</f>
        <v>337392</v>
      </c>
    </row>
    <row r="7" spans="1:8" ht="18" customHeight="1" thickBot="1">
      <c r="A7" s="53" t="s">
        <v>37</v>
      </c>
      <c r="B7" s="52" t="s">
        <v>96</v>
      </c>
      <c r="C7" s="119"/>
      <c r="D7" s="119">
        <f>'C8'!E24</f>
        <v>1145783232</v>
      </c>
      <c r="E7" s="119">
        <f>'C8'!F24</f>
        <v>1336747104</v>
      </c>
      <c r="F7" s="119">
        <f>'C8'!G24</f>
        <v>1527710976</v>
      </c>
      <c r="G7" s="119">
        <f>'C8'!H24</f>
        <v>1718674848</v>
      </c>
      <c r="H7" s="119">
        <f>'C8'!I24</f>
        <v>1909638720</v>
      </c>
    </row>
    <row r="8" spans="1:8" ht="13.5" thickTop="1">
      <c r="A8" s="53"/>
      <c r="B8" s="40" t="s">
        <v>120</v>
      </c>
      <c r="C8" s="50"/>
      <c r="D8" s="50">
        <f>'C7'!E28</f>
        <v>96940800</v>
      </c>
      <c r="E8" s="50">
        <f>'C7'!F28</f>
        <v>120665160</v>
      </c>
      <c r="F8" s="50">
        <f>'C7'!G28</f>
        <v>147148055.99999997</v>
      </c>
      <c r="G8" s="50">
        <f>'C7'!H28</f>
        <v>176660507.92499995</v>
      </c>
      <c r="H8" s="50">
        <f>'C7'!I28</f>
        <v>209498377.89374995</v>
      </c>
    </row>
    <row r="9" spans="1:8" ht="12.75">
      <c r="A9" s="53"/>
      <c r="B9" s="40" t="s">
        <v>362</v>
      </c>
      <c r="C9" s="50"/>
      <c r="D9" s="50">
        <f>'C6F'!C18</f>
        <v>168750000</v>
      </c>
      <c r="E9" s="50">
        <f>'C6F'!D18</f>
        <v>193875000</v>
      </c>
      <c r="F9" s="50">
        <f>'C6F'!E18</f>
        <v>258637500.00000003</v>
      </c>
      <c r="G9" s="50">
        <f>'C6F'!F18</f>
        <v>294483750.0000001</v>
      </c>
      <c r="H9" s="50">
        <f>'C6F'!G18</f>
        <v>334912875.0000001</v>
      </c>
    </row>
    <row r="10" spans="1:8" ht="12.75">
      <c r="A10" s="53"/>
      <c r="B10" s="40" t="s">
        <v>121</v>
      </c>
      <c r="C10" s="50"/>
      <c r="D10" s="50">
        <f>'C9'!G32</f>
        <v>152450448.75472</v>
      </c>
      <c r="E10" s="50">
        <f>'C9'!H32</f>
        <v>171324269.40045598</v>
      </c>
      <c r="F10" s="50">
        <f>'C9'!I32</f>
        <v>192547660.8064788</v>
      </c>
      <c r="G10" s="50">
        <f>'C9'!J32</f>
        <v>210955087.71080276</v>
      </c>
      <c r="H10" s="50">
        <f>'C9'!K32</f>
        <v>230040025.3883429</v>
      </c>
    </row>
    <row r="11" spans="1:8" ht="18" customHeight="1" thickBot="1">
      <c r="A11" s="53" t="s">
        <v>43</v>
      </c>
      <c r="B11" s="52" t="s">
        <v>387</v>
      </c>
      <c r="C11" s="205"/>
      <c r="D11" s="123">
        <f>SUM(D8:D10)</f>
        <v>418141248.75472</v>
      </c>
      <c r="E11" s="123">
        <f>SUM(E8:E10)</f>
        <v>485864429.40045595</v>
      </c>
      <c r="F11" s="123">
        <f>SUM(F8:F10)</f>
        <v>598333216.8064787</v>
      </c>
      <c r="G11" s="123">
        <f>SUM(G8:G10)</f>
        <v>682099345.6358029</v>
      </c>
      <c r="H11" s="123">
        <f>SUM(H8:H10)</f>
        <v>774451278.2820929</v>
      </c>
    </row>
    <row r="12" spans="1:8" ht="18" customHeight="1" thickTop="1">
      <c r="A12" s="53" t="s">
        <v>45</v>
      </c>
      <c r="B12" s="52" t="s">
        <v>373</v>
      </c>
      <c r="C12" s="118"/>
      <c r="D12" s="122">
        <f>D7-D11</f>
        <v>727641983.24528</v>
      </c>
      <c r="E12" s="122">
        <f>E7-E11</f>
        <v>850882674.599544</v>
      </c>
      <c r="F12" s="122">
        <f>F7-F11</f>
        <v>929377759.1935213</v>
      </c>
      <c r="G12" s="122">
        <f>G7-G11</f>
        <v>1036575502.3641971</v>
      </c>
      <c r="H12" s="122">
        <f>H7-H11</f>
        <v>1135187441.717907</v>
      </c>
    </row>
    <row r="13" spans="1:8" ht="12.75">
      <c r="A13" s="53" t="s">
        <v>47</v>
      </c>
      <c r="B13" s="40" t="s">
        <v>122</v>
      </c>
      <c r="C13" s="78"/>
      <c r="D13" s="78">
        <f>'C4'!H22</f>
        <v>199741669.5129016</v>
      </c>
      <c r="E13" s="78">
        <f>'C4'!I22</f>
        <v>199741669.5129016</v>
      </c>
      <c r="F13" s="78">
        <f>'C4'!J22</f>
        <v>199741669.5129016</v>
      </c>
      <c r="G13" s="78">
        <f>'C4'!K22</f>
        <v>177246710.15088826</v>
      </c>
      <c r="H13" s="78">
        <f>'C4'!L22</f>
        <v>177246710.15088826</v>
      </c>
    </row>
    <row r="14" spans="1:8" ht="18" customHeight="1">
      <c r="A14" s="53" t="s">
        <v>49</v>
      </c>
      <c r="B14" s="52" t="s">
        <v>596</v>
      </c>
      <c r="C14" s="118"/>
      <c r="D14" s="122">
        <f>D12-D13</f>
        <v>527900313.7323784</v>
      </c>
      <c r="E14" s="122">
        <f>E12-E13</f>
        <v>651141005.0866425</v>
      </c>
      <c r="F14" s="122">
        <f>F12-F13</f>
        <v>729636089.6806197</v>
      </c>
      <c r="G14" s="122">
        <f>G12-G13</f>
        <v>859328792.2133088</v>
      </c>
      <c r="H14" s="122">
        <f>H12-H13</f>
        <v>957940731.5670187</v>
      </c>
    </row>
    <row r="15" spans="1:8" ht="12.75">
      <c r="A15" s="53" t="s">
        <v>71</v>
      </c>
      <c r="B15" s="40" t="s">
        <v>123</v>
      </c>
      <c r="C15" s="78"/>
      <c r="D15" s="78">
        <f>'C5'!J29</f>
        <v>188274630.96621183</v>
      </c>
      <c r="E15" s="78">
        <f>'C5'!J30</f>
        <v>180872792.22591254</v>
      </c>
      <c r="F15" s="78">
        <f>'C5'!J31</f>
        <v>147317903.74135184</v>
      </c>
      <c r="G15" s="78">
        <f>'C5'!J32</f>
        <v>104535420.92353693</v>
      </c>
      <c r="H15" s="78">
        <f>'C5'!J33</f>
        <v>49987755.33082294</v>
      </c>
    </row>
    <row r="16" spans="1:8" ht="18" customHeight="1">
      <c r="A16" s="53" t="s">
        <v>372</v>
      </c>
      <c r="B16" s="52" t="s">
        <v>411</v>
      </c>
      <c r="C16" s="122"/>
      <c r="D16" s="122">
        <f>D14-D15</f>
        <v>339625682.76616657</v>
      </c>
      <c r="E16" s="122">
        <f>E14-E15</f>
        <v>470268212.86072993</v>
      </c>
      <c r="F16" s="122">
        <f>F14-F15</f>
        <v>582318185.9392679</v>
      </c>
      <c r="G16" s="122">
        <f>G14-G15</f>
        <v>754793371.2897719</v>
      </c>
      <c r="H16" s="122">
        <f>H14-H15</f>
        <v>907952976.2361958</v>
      </c>
    </row>
    <row r="17" spans="1:8" ht="12.75" customHeight="1">
      <c r="A17" s="53" t="s">
        <v>412</v>
      </c>
      <c r="B17" s="40" t="s">
        <v>129</v>
      </c>
      <c r="C17" s="206"/>
      <c r="D17" s="207">
        <f>-IF(D16&lt;=0,0,(VLOOKUP(D16,D40:F42,2))*D16-VLOOKUP(D16,D40:F42,3))</f>
        <v>-108872732.14049664</v>
      </c>
      <c r="E17" s="207">
        <f>-IF(E16&lt;=0,0,(VLOOKUP(E16,D40:F42,2))*E16-VLOOKUP(E16,D40:F42,3))</f>
        <v>-153291192.37264818</v>
      </c>
      <c r="F17" s="207">
        <f>-IF(F16&lt;=0,0,(VLOOKUP(F16,D40:F42,2))*F16-VLOOKUP(F16,D40:F42,3))</f>
        <v>-191388183.21935108</v>
      </c>
      <c r="G17" s="207">
        <f>-IF(G16&lt;=0,0,(VLOOKUP(G16,D40:F42,2))*G16-VLOOKUP(G16,D40:F42,3))</f>
        <v>-250029746.23852247</v>
      </c>
      <c r="H17" s="207">
        <f>-IF(H16&lt;=0,0,(VLOOKUP(H16,D40:F42,2))*H16-VLOOKUP(H16,D40:F42,3))</f>
        <v>-302104011.9203066</v>
      </c>
    </row>
    <row r="18" spans="1:8" ht="18" customHeight="1" thickBot="1">
      <c r="A18" s="53" t="s">
        <v>413</v>
      </c>
      <c r="B18" s="208" t="s">
        <v>414</v>
      </c>
      <c r="C18" s="119"/>
      <c r="D18" s="119">
        <f>D16+D17</f>
        <v>230752950.62566993</v>
      </c>
      <c r="E18" s="119">
        <f>E16+E17</f>
        <v>316977020.48808175</v>
      </c>
      <c r="F18" s="119">
        <f>F16+F17</f>
        <v>390930002.7199168</v>
      </c>
      <c r="G18" s="119">
        <f>G16+G17</f>
        <v>504763625.05124944</v>
      </c>
      <c r="H18" s="119">
        <f>H16+H17</f>
        <v>605848964.3158891</v>
      </c>
    </row>
    <row r="19" spans="1:4" ht="13.5" thickTop="1">
      <c r="A19" s="53"/>
      <c r="D19" s="128"/>
    </row>
    <row r="20" spans="1:8" ht="15.75">
      <c r="A20" s="60"/>
      <c r="B20" s="203" t="s">
        <v>2</v>
      </c>
      <c r="C20" s="73"/>
      <c r="D20" s="73"/>
      <c r="E20" s="73"/>
      <c r="F20" s="73"/>
      <c r="G20" s="73"/>
      <c r="H20" s="73"/>
    </row>
    <row r="21" spans="1:8" ht="12.75">
      <c r="A21" s="60"/>
      <c r="B21" s="48"/>
      <c r="C21" s="48"/>
      <c r="D21" s="48"/>
      <c r="E21" s="48"/>
      <c r="F21" s="48"/>
      <c r="G21" s="48"/>
      <c r="H21" s="48"/>
    </row>
    <row r="22" spans="1:8" ht="37.5" customHeight="1">
      <c r="A22" s="60"/>
      <c r="B22" s="48"/>
      <c r="C22" s="46" t="s">
        <v>117</v>
      </c>
      <c r="D22" s="46" t="s">
        <v>151</v>
      </c>
      <c r="E22" s="46" t="s">
        <v>118</v>
      </c>
      <c r="F22" s="46" t="s">
        <v>98</v>
      </c>
      <c r="G22" s="5" t="s">
        <v>119</v>
      </c>
      <c r="H22" s="46" t="s">
        <v>100</v>
      </c>
    </row>
    <row r="23" spans="1:8" ht="18" customHeight="1">
      <c r="A23" s="59"/>
      <c r="B23" s="52" t="s">
        <v>349</v>
      </c>
      <c r="C23" s="209"/>
      <c r="D23" s="210">
        <f>D6/D6</f>
        <v>1</v>
      </c>
      <c r="E23" s="210">
        <f>E6/E6</f>
        <v>1</v>
      </c>
      <c r="F23" s="210">
        <f>F6/F6</f>
        <v>1</v>
      </c>
      <c r="G23" s="210">
        <f>G6/G6</f>
        <v>1</v>
      </c>
      <c r="H23" s="210">
        <f>H6/H6</f>
        <v>1</v>
      </c>
    </row>
    <row r="24" spans="1:8" ht="18" customHeight="1" thickBot="1">
      <c r="A24" s="53" t="s">
        <v>37</v>
      </c>
      <c r="B24" s="52" t="s">
        <v>96</v>
      </c>
      <c r="C24" s="140"/>
      <c r="D24" s="211">
        <f>D7/D6</f>
        <v>5660</v>
      </c>
      <c r="E24" s="211">
        <f>E7/E6</f>
        <v>5659.999999999999</v>
      </c>
      <c r="F24" s="211">
        <f>F7/F6</f>
        <v>5660.000000000001</v>
      </c>
      <c r="G24" s="211">
        <f>G7/G6</f>
        <v>5660</v>
      </c>
      <c r="H24" s="211">
        <f>H7/H6</f>
        <v>5660</v>
      </c>
    </row>
    <row r="25" spans="1:8" ht="12" customHeight="1" thickTop="1">
      <c r="A25" s="53"/>
      <c r="B25" s="40" t="s">
        <v>120</v>
      </c>
      <c r="D25" s="212">
        <f>D8/D6</f>
        <v>478.8732394366197</v>
      </c>
      <c r="E25" s="212">
        <f>E8/E6</f>
        <v>510.91549295774644</v>
      </c>
      <c r="F25" s="212">
        <f>F8/F6</f>
        <v>545.1672535211267</v>
      </c>
      <c r="G25" s="212">
        <f>G8/G6</f>
        <v>581.7845510563379</v>
      </c>
      <c r="H25" s="212">
        <f>H8/H6</f>
        <v>620.9346335827463</v>
      </c>
    </row>
    <row r="26" spans="1:8" ht="12" customHeight="1">
      <c r="A26" s="53"/>
      <c r="B26" s="40" t="s">
        <v>362</v>
      </c>
      <c r="D26" s="212">
        <f>D9/D6</f>
        <v>833.6000853606487</v>
      </c>
      <c r="E26" s="212">
        <f>E9/E6</f>
        <v>820.8976078694387</v>
      </c>
      <c r="F26" s="212">
        <f>F9/F6</f>
        <v>958.2232981220659</v>
      </c>
      <c r="G26" s="212">
        <f>G9/G6</f>
        <v>969.804164493132</v>
      </c>
      <c r="H26" s="212">
        <f>H9/H6</f>
        <v>992.6520931142413</v>
      </c>
    </row>
    <row r="27" spans="1:8" ht="12" customHeight="1">
      <c r="A27" s="53"/>
      <c r="B27" s="40" t="s">
        <v>121</v>
      </c>
      <c r="D27" s="213">
        <f>D10/D6</f>
        <v>753.0827087123188</v>
      </c>
      <c r="E27" s="213">
        <f>E10/E6</f>
        <v>725.4142252524235</v>
      </c>
      <c r="F27" s="213">
        <f>F10/F6</f>
        <v>713.3677621523289</v>
      </c>
      <c r="G27" s="213">
        <f>G10/G6</f>
        <v>694.7246582636576</v>
      </c>
      <c r="H27" s="213">
        <f>H10/H6</f>
        <v>681.8182570669811</v>
      </c>
    </row>
    <row r="28" spans="1:8" ht="17.25" customHeight="1" thickBot="1">
      <c r="A28" s="53" t="s">
        <v>43</v>
      </c>
      <c r="B28" s="52" t="s">
        <v>387</v>
      </c>
      <c r="C28" s="214"/>
      <c r="D28" s="211">
        <f>SUM(D25:D27)</f>
        <v>2065.556033509587</v>
      </c>
      <c r="E28" s="211">
        <f>SUM(E25:E27)</f>
        <v>2057.2273260796087</v>
      </c>
      <c r="F28" s="211">
        <f>SUM(F25:F27)</f>
        <v>2216.7583137955216</v>
      </c>
      <c r="G28" s="211">
        <f>SUM(G25:G27)</f>
        <v>2246.3133738131273</v>
      </c>
      <c r="H28" s="211">
        <f>SUM(H25:H27)</f>
        <v>2295.4049837639686</v>
      </c>
    </row>
    <row r="29" spans="1:8" ht="18" customHeight="1" thickTop="1">
      <c r="A29" s="53" t="s">
        <v>45</v>
      </c>
      <c r="B29" s="52" t="s">
        <v>373</v>
      </c>
      <c r="C29" s="62"/>
      <c r="D29" s="215">
        <f>D24-D28</f>
        <v>3594.443966490413</v>
      </c>
      <c r="E29" s="215">
        <f>E24-E28</f>
        <v>3602.7726739203904</v>
      </c>
      <c r="F29" s="215">
        <f>F24-F28</f>
        <v>3443.2416862044793</v>
      </c>
      <c r="G29" s="215">
        <f>G24-G28</f>
        <v>3413.6866261868727</v>
      </c>
      <c r="H29" s="215">
        <f>H24-H28</f>
        <v>3364.5950162360314</v>
      </c>
    </row>
    <row r="30" spans="1:8" ht="12.75" customHeight="1">
      <c r="A30" s="53" t="s">
        <v>47</v>
      </c>
      <c r="B30" s="40" t="s">
        <v>122</v>
      </c>
      <c r="C30" s="138"/>
      <c r="D30" s="216">
        <f>D13/D6</f>
        <v>986.6943570727897</v>
      </c>
      <c r="E30" s="216">
        <f>E13/E6</f>
        <v>845.7380203481054</v>
      </c>
      <c r="F30" s="216">
        <f>F13/F6</f>
        <v>740.0207678045923</v>
      </c>
      <c r="G30" s="216">
        <f>G13/G6</f>
        <v>583.7150526880973</v>
      </c>
      <c r="H30" s="216">
        <f>H13/H6</f>
        <v>525.3435474192876</v>
      </c>
    </row>
    <row r="31" spans="1:8" ht="18" customHeight="1">
      <c r="A31" s="53" t="s">
        <v>49</v>
      </c>
      <c r="B31" s="52" t="s">
        <v>596</v>
      </c>
      <c r="C31" s="62"/>
      <c r="D31" s="215">
        <f>D29-D30</f>
        <v>2607.749609417623</v>
      </c>
      <c r="E31" s="215">
        <f>E29-E30</f>
        <v>2757.034653572285</v>
      </c>
      <c r="F31" s="215">
        <f>F29-F30</f>
        <v>2703.220918399887</v>
      </c>
      <c r="G31" s="215">
        <f>G29-G30</f>
        <v>2829.9715734987753</v>
      </c>
      <c r="H31" s="215">
        <f>H29-H30</f>
        <v>2839.251468816744</v>
      </c>
    </row>
    <row r="32" spans="1:8" ht="12" customHeight="1">
      <c r="A32" s="53" t="s">
        <v>71</v>
      </c>
      <c r="B32" s="40" t="s">
        <v>123</v>
      </c>
      <c r="C32" s="138"/>
      <c r="D32" s="216">
        <f>D15/D6</f>
        <v>930.0488796721708</v>
      </c>
      <c r="E32" s="216">
        <f>E15/E6</f>
        <v>765.8441906739787</v>
      </c>
      <c r="F32" s="216">
        <f>F15/F6</f>
        <v>545.7965205953011</v>
      </c>
      <c r="G32" s="216">
        <f>G15/G6</f>
        <v>344.2596970076908</v>
      </c>
      <c r="H32" s="216">
        <f>H15/H6</f>
        <v>148.1592786160399</v>
      </c>
    </row>
    <row r="33" spans="1:8" ht="17.25" customHeight="1">
      <c r="A33" s="53" t="s">
        <v>372</v>
      </c>
      <c r="B33" s="52" t="s">
        <v>411</v>
      </c>
      <c r="C33" s="69"/>
      <c r="D33" s="215">
        <f>D31-D32</f>
        <v>1677.7007297454525</v>
      </c>
      <c r="E33" s="215">
        <f>E31-E32</f>
        <v>1991.1904628983066</v>
      </c>
      <c r="F33" s="215">
        <f>F31-F32</f>
        <v>2157.424397804586</v>
      </c>
      <c r="G33" s="215">
        <f>G31-G32</f>
        <v>2485.7118764910847</v>
      </c>
      <c r="H33" s="215">
        <f>H31-H32</f>
        <v>2691.092190200704</v>
      </c>
    </row>
    <row r="34" spans="1:8" ht="12.75" customHeight="1">
      <c r="A34" s="53" t="s">
        <v>412</v>
      </c>
      <c r="B34" s="40" t="s">
        <v>129</v>
      </c>
      <c r="C34" s="141"/>
      <c r="D34" s="217">
        <f>D17/D6</f>
        <v>-537.8152225526817</v>
      </c>
      <c r="E34" s="217">
        <f>E17/E6</f>
        <v>-649.0593069047626</v>
      </c>
      <c r="F34" s="217">
        <f>F17/F6</f>
        <v>-709.0720260829803</v>
      </c>
      <c r="G34" s="217">
        <f>G17/G6</f>
        <v>-823.4066876331207</v>
      </c>
      <c r="H34" s="217">
        <f>H17/H6</f>
        <v>-895.4095293317762</v>
      </c>
    </row>
    <row r="35" spans="1:8" ht="18" customHeight="1" thickBot="1">
      <c r="A35" s="53" t="s">
        <v>413</v>
      </c>
      <c r="B35" s="208" t="s">
        <v>414</v>
      </c>
      <c r="C35" s="140"/>
      <c r="D35" s="218">
        <f>D33+D34</f>
        <v>1139.8855071927708</v>
      </c>
      <c r="E35" s="218">
        <f>E33+E34</f>
        <v>1342.1311559935439</v>
      </c>
      <c r="F35" s="218">
        <f>F33+F34</f>
        <v>1448.3523717216058</v>
      </c>
      <c r="G35" s="218">
        <f>G33+G34</f>
        <v>1662.305188857964</v>
      </c>
      <c r="H35" s="218">
        <f>H33+H34</f>
        <v>1795.6826608689278</v>
      </c>
    </row>
    <row r="36" spans="1:8" ht="12" customHeight="1" thickTop="1">
      <c r="A36" s="53"/>
      <c r="B36" s="48"/>
      <c r="C36" s="219"/>
      <c r="D36" s="219"/>
      <c r="E36" s="219"/>
      <c r="F36" s="219"/>
      <c r="G36" s="219"/>
      <c r="H36" s="219"/>
    </row>
    <row r="37" ht="15.75">
      <c r="B37" s="412" t="s">
        <v>564</v>
      </c>
    </row>
    <row r="38" ht="12.75">
      <c r="B38" s="354"/>
    </row>
    <row r="39" spans="2:6" s="354" customFormat="1" ht="13.5" thickBot="1">
      <c r="B39" s="413" t="s">
        <v>565</v>
      </c>
      <c r="C39" s="417"/>
      <c r="D39" s="418" t="s">
        <v>566</v>
      </c>
      <c r="E39" s="418" t="s">
        <v>567</v>
      </c>
      <c r="F39" s="418" t="s">
        <v>568</v>
      </c>
    </row>
    <row r="40" spans="2:6" ht="13.5" thickTop="1">
      <c r="B40" s="414" t="s">
        <v>569</v>
      </c>
      <c r="C40" s="220"/>
      <c r="D40" s="220">
        <v>0</v>
      </c>
      <c r="E40" s="221">
        <v>0.15</v>
      </c>
      <c r="F40" s="222">
        <v>0</v>
      </c>
    </row>
    <row r="41" spans="2:7" ht="12.75">
      <c r="B41" s="415" t="s">
        <v>570</v>
      </c>
      <c r="C41" s="118"/>
      <c r="D41" s="118">
        <f>C44*2000</f>
        <v>26400000</v>
      </c>
      <c r="E41" s="163">
        <v>0.22</v>
      </c>
      <c r="F41" s="223">
        <f>140*C44</f>
        <v>1848000</v>
      </c>
      <c r="G41" s="113" t="s">
        <v>571</v>
      </c>
    </row>
    <row r="42" spans="2:7" ht="12.75">
      <c r="B42" s="416" t="s">
        <v>572</v>
      </c>
      <c r="C42" s="78"/>
      <c r="D42" s="78">
        <f>C44*3000</f>
        <v>39600000</v>
      </c>
      <c r="E42" s="131">
        <v>0.34</v>
      </c>
      <c r="F42" s="224">
        <f>500*C44</f>
        <v>6600000</v>
      </c>
      <c r="G42" s="113" t="s">
        <v>573</v>
      </c>
    </row>
    <row r="43" spans="2:4" ht="12.75">
      <c r="B43" s="354"/>
      <c r="C43" s="50"/>
      <c r="D43" s="50"/>
    </row>
    <row r="44" spans="2:4" ht="12.75">
      <c r="B44" s="354" t="s">
        <v>574</v>
      </c>
      <c r="C44" s="50">
        <v>13200</v>
      </c>
      <c r="D44" s="50"/>
    </row>
    <row r="45" ht="12.75">
      <c r="B45" s="354"/>
    </row>
    <row r="46" ht="12.75">
      <c r="B46" s="354"/>
    </row>
  </sheetData>
  <printOptions horizontalCentered="1" verticalCentered="1"/>
  <pageMargins left="0.3937007874015748" right="0.75" top="1" bottom="1" header="0" footer="0"/>
  <pageSetup horizontalDpi="300" verticalDpi="300" orientation="portrait" paperSize="9" scale="90" r:id="rId1"/>
  <ignoredErrors>
    <ignoredError sqref="D15:H15 D32:H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40" customWidth="1"/>
    <col min="2" max="2" width="32.00390625" style="40" customWidth="1"/>
    <col min="3" max="3" width="7.140625" style="40" customWidth="1"/>
    <col min="4" max="4" width="14.28125" style="40" customWidth="1"/>
    <col min="5" max="5" width="15.421875" style="40" customWidth="1"/>
    <col min="6" max="7" width="14.421875" style="40" customWidth="1"/>
    <col min="8" max="8" width="14.8515625" style="40" customWidth="1"/>
    <col min="9" max="16384" width="11.421875" style="40" customWidth="1"/>
  </cols>
  <sheetData>
    <row r="1" spans="1:2" s="377" customFormat="1" ht="24" customHeight="1">
      <c r="A1" s="352" t="s">
        <v>124</v>
      </c>
      <c r="B1" s="385"/>
    </row>
    <row r="2" spans="2:8" s="377" customFormat="1" ht="24" customHeight="1">
      <c r="B2" s="378" t="s">
        <v>358</v>
      </c>
      <c r="C2" s="382"/>
      <c r="D2" s="382"/>
      <c r="E2" s="382"/>
      <c r="F2" s="382"/>
      <c r="G2" s="382"/>
      <c r="H2" s="382"/>
    </row>
    <row r="3" ht="12.75">
      <c r="B3" s="48"/>
    </row>
    <row r="4" spans="3:8" ht="37.5" customHeight="1">
      <c r="C4" s="46" t="s">
        <v>117</v>
      </c>
      <c r="D4" s="46" t="s">
        <v>277</v>
      </c>
      <c r="E4" s="46" t="s">
        <v>613</v>
      </c>
      <c r="F4" s="46" t="s">
        <v>125</v>
      </c>
      <c r="G4" s="46" t="s">
        <v>119</v>
      </c>
      <c r="H4" s="46" t="s">
        <v>612</v>
      </c>
    </row>
    <row r="5" spans="2:8" ht="18" customHeight="1" thickBot="1">
      <c r="B5" s="52" t="s">
        <v>349</v>
      </c>
      <c r="C5" s="225"/>
      <c r="D5" s="419">
        <f>'C1'!E19</f>
        <v>202435.2</v>
      </c>
      <c r="E5" s="419">
        <f>'C1'!F19</f>
        <v>236174.40000000002</v>
      </c>
      <c r="F5" s="419">
        <f>'C1'!G19</f>
        <v>269913.6</v>
      </c>
      <c r="G5" s="419">
        <f>'C1'!H19</f>
        <v>303652.8</v>
      </c>
      <c r="H5" s="419">
        <f>'C1'!I19</f>
        <v>337392</v>
      </c>
    </row>
    <row r="6" spans="2:8" ht="12.75" customHeight="1" thickTop="1">
      <c r="B6" s="48" t="s">
        <v>126</v>
      </c>
      <c r="C6" s="39"/>
      <c r="D6" s="17"/>
      <c r="E6" s="17"/>
      <c r="F6" s="17"/>
      <c r="G6" s="17"/>
      <c r="H6" s="50"/>
    </row>
    <row r="7" spans="2:8" ht="12.75" customHeight="1">
      <c r="B7" s="48" t="s">
        <v>205</v>
      </c>
      <c r="C7" s="39"/>
      <c r="D7" s="17"/>
      <c r="E7" s="17"/>
      <c r="F7" s="17"/>
      <c r="G7" s="17"/>
      <c r="H7" s="50"/>
    </row>
    <row r="8" spans="2:8" ht="12.75" customHeight="1">
      <c r="B8" s="48" t="s">
        <v>206</v>
      </c>
      <c r="C8" s="39"/>
      <c r="D8" s="17"/>
      <c r="E8" s="17"/>
      <c r="F8" s="17"/>
      <c r="G8" s="17"/>
      <c r="H8" s="50"/>
    </row>
    <row r="9" spans="2:8" ht="12" customHeight="1">
      <c r="B9" s="40" t="s">
        <v>207</v>
      </c>
      <c r="D9" s="50">
        <f>'C9'!G13+'C9'!G25</f>
        <v>39442420.0956</v>
      </c>
      <c r="E9" s="50">
        <f>'C9'!H13+'C9'!H25</f>
        <v>41414541.10038</v>
      </c>
      <c r="F9" s="50">
        <f>'C9'!I13+'C9'!I25</f>
        <v>43485268.15539901</v>
      </c>
      <c r="G9" s="50">
        <f>'C9'!J13+'C9'!J25</f>
        <v>45659531.56316896</v>
      </c>
      <c r="H9" s="50">
        <f>'C9'!K13+'C9'!K25</f>
        <v>47942508.14132741</v>
      </c>
    </row>
    <row r="10" spans="2:8" ht="12.75">
      <c r="B10" s="40" t="s">
        <v>325</v>
      </c>
      <c r="D10" s="50">
        <f>'C9'!G12+'C9'!G24</f>
        <v>9000000</v>
      </c>
      <c r="E10" s="50">
        <f>'C9'!H12+'C9'!H24</f>
        <v>9450000</v>
      </c>
      <c r="F10" s="50">
        <f>'C9'!I12+'C9'!I24</f>
        <v>9922500</v>
      </c>
      <c r="G10" s="50">
        <f>'C9'!J12+'C9'!J24</f>
        <v>10418625</v>
      </c>
      <c r="H10" s="50">
        <f>'C9'!K12+'C9'!K24</f>
        <v>10939556.25</v>
      </c>
    </row>
    <row r="11" spans="2:8" ht="12.75">
      <c r="B11" s="40" t="s">
        <v>326</v>
      </c>
      <c r="D11" s="118">
        <f>'C9'!G28</f>
        <v>18000000</v>
      </c>
      <c r="E11" s="118">
        <f>'C9'!H28</f>
        <v>22050000</v>
      </c>
      <c r="F11" s="118">
        <f>'C9'!I28</f>
        <v>25199999.999999996</v>
      </c>
      <c r="G11" s="118">
        <f>'C9'!J28</f>
        <v>28349999.999999996</v>
      </c>
      <c r="H11" s="118">
        <f>'C9'!K28</f>
        <v>31500000</v>
      </c>
    </row>
    <row r="12" spans="2:8" ht="12.75">
      <c r="B12" s="48" t="s">
        <v>208</v>
      </c>
      <c r="D12" s="118"/>
      <c r="E12" s="118"/>
      <c r="F12" s="118"/>
      <c r="G12" s="118"/>
      <c r="H12" s="118"/>
    </row>
    <row r="13" spans="2:8" ht="12.75">
      <c r="B13" s="40" t="s">
        <v>290</v>
      </c>
      <c r="D13" s="50">
        <f>'C9'!G14+'C9'!G26</f>
        <v>14255999.999999998</v>
      </c>
      <c r="E13" s="50">
        <f>'C9'!H14+'C9'!H26</f>
        <v>17463600</v>
      </c>
      <c r="F13" s="50">
        <f>'C9'!I14+'C9'!I26</f>
        <v>19958399.999999996</v>
      </c>
      <c r="G13" s="50">
        <f>'C9'!J14+'C9'!J26</f>
        <v>22453199.999999996</v>
      </c>
      <c r="H13" s="50">
        <f>'C9'!K14+'C9'!K26</f>
        <v>24948000</v>
      </c>
    </row>
    <row r="14" spans="2:8" ht="12.75">
      <c r="B14" s="40" t="s">
        <v>291</v>
      </c>
      <c r="D14" s="50">
        <f>'C9'!G27</f>
        <v>6842880</v>
      </c>
      <c r="E14" s="50">
        <f>'C9'!H27</f>
        <v>8382527.999999999</v>
      </c>
      <c r="F14" s="50">
        <f>'C9'!I27</f>
        <v>9580032</v>
      </c>
      <c r="G14" s="50">
        <f>'C9'!J27</f>
        <v>10777535.999999998</v>
      </c>
      <c r="H14" s="50">
        <f>'C9'!K27</f>
        <v>11975040</v>
      </c>
    </row>
    <row r="15" spans="2:8" ht="12.75">
      <c r="B15" s="48" t="s">
        <v>209</v>
      </c>
      <c r="D15" s="50"/>
      <c r="E15" s="50"/>
      <c r="F15" s="50"/>
      <c r="G15" s="50"/>
      <c r="H15" s="50"/>
    </row>
    <row r="16" spans="2:8" ht="12.75">
      <c r="B16" s="40" t="s">
        <v>210</v>
      </c>
      <c r="D16" s="50">
        <f>'C9'!G15</f>
        <v>9443484.01912</v>
      </c>
      <c r="E16" s="50">
        <f>'C9'!H15</f>
        <v>9915658.220076</v>
      </c>
      <c r="F16" s="50">
        <f>'C9'!I15</f>
        <v>10411441.1310798</v>
      </c>
      <c r="G16" s="50">
        <f>'C9'!J15</f>
        <v>10932013.18763379</v>
      </c>
      <c r="H16" s="50">
        <f>'C9'!K15</f>
        <v>11478613.84701548</v>
      </c>
    </row>
    <row r="17" spans="2:8" ht="12.75">
      <c r="B17" s="40" t="s">
        <v>211</v>
      </c>
      <c r="D17" s="50">
        <f>'C9'!G11+'C9'!G23</f>
        <v>15000000</v>
      </c>
      <c r="E17" s="50">
        <f>'C9'!H11+'C9'!H23</f>
        <v>15750000</v>
      </c>
      <c r="F17" s="50">
        <f>'C9'!I11+'C9'!I23</f>
        <v>16537500</v>
      </c>
      <c r="G17" s="50">
        <f>'C9'!J11+'C9'!J23</f>
        <v>17364375</v>
      </c>
      <c r="H17" s="50">
        <f>'C9'!K11+'C9'!K23</f>
        <v>18232593.75</v>
      </c>
    </row>
    <row r="18" spans="2:8" ht="12.75">
      <c r="B18" s="48" t="s">
        <v>212</v>
      </c>
      <c r="C18" s="138"/>
      <c r="D18" s="78">
        <f>'C9'!G16</f>
        <v>5156024.544</v>
      </c>
      <c r="E18" s="78">
        <f>'C9'!H16</f>
        <v>6015361.967999999</v>
      </c>
      <c r="F18" s="78">
        <f>'C9'!I16</f>
        <v>6874699.392</v>
      </c>
      <c r="G18" s="78">
        <f>'C9'!J16</f>
        <v>7734036.816</v>
      </c>
      <c r="H18" s="78">
        <f>'C9'!K16</f>
        <v>8593374.24</v>
      </c>
    </row>
    <row r="19" spans="1:8" ht="18" customHeight="1" thickBot="1">
      <c r="A19" s="53" t="s">
        <v>37</v>
      </c>
      <c r="B19" s="52" t="s">
        <v>127</v>
      </c>
      <c r="C19" s="140"/>
      <c r="D19" s="119">
        <f>SUM(D7:D18)</f>
        <v>117140808.65871999</v>
      </c>
      <c r="E19" s="119">
        <f>SUM(E7:E18)</f>
        <v>130441689.288456</v>
      </c>
      <c r="F19" s="119">
        <f>SUM(F7:F18)</f>
        <v>141969840.6784788</v>
      </c>
      <c r="G19" s="119">
        <f>SUM(G7:G18)</f>
        <v>153689317.56680274</v>
      </c>
      <c r="H19" s="119">
        <f>SUM(H7:H18)</f>
        <v>165609686.2283429</v>
      </c>
    </row>
    <row r="20" spans="1:8" ht="22.5" customHeight="1" thickTop="1">
      <c r="A20" s="49"/>
      <c r="B20" s="48" t="s">
        <v>128</v>
      </c>
      <c r="C20" s="48"/>
      <c r="D20" s="50"/>
      <c r="E20" s="50"/>
      <c r="F20" s="50"/>
      <c r="G20" s="50"/>
      <c r="H20" s="50"/>
    </row>
    <row r="21" spans="1:8" ht="12.75">
      <c r="A21" s="49"/>
      <c r="B21" s="48" t="s">
        <v>213</v>
      </c>
      <c r="C21" s="48"/>
      <c r="D21" s="50"/>
      <c r="E21" s="50"/>
      <c r="F21" s="50"/>
      <c r="G21" s="50"/>
      <c r="H21" s="50"/>
    </row>
    <row r="22" spans="1:8" ht="12.75">
      <c r="A22" s="49"/>
      <c r="B22" s="40" t="s">
        <v>214</v>
      </c>
      <c r="D22" s="50">
        <f>'C7'!E26</f>
        <v>31363200</v>
      </c>
      <c r="E22" s="50">
        <f>'C7'!F26</f>
        <v>38419920</v>
      </c>
      <c r="F22" s="50">
        <f>'C7'!G26</f>
        <v>46103903.99999999</v>
      </c>
      <c r="G22" s="50">
        <f>'C7'!H26</f>
        <v>54460236.599999994</v>
      </c>
      <c r="H22" s="50">
        <f>'C7'!I26</f>
        <v>63536942.7</v>
      </c>
    </row>
    <row r="23" spans="1:8" ht="12.75">
      <c r="A23" s="49"/>
      <c r="B23" s="48" t="s">
        <v>215</v>
      </c>
      <c r="C23" s="48"/>
      <c r="D23" s="50"/>
      <c r="E23" s="50"/>
      <c r="F23" s="50"/>
      <c r="G23" s="50"/>
      <c r="H23" s="50"/>
    </row>
    <row r="24" spans="1:8" ht="12.75">
      <c r="A24" s="49"/>
      <c r="B24" s="40" t="s">
        <v>363</v>
      </c>
      <c r="D24" s="50">
        <f>'C10'!D9</f>
        <v>168750000</v>
      </c>
      <c r="E24" s="50">
        <f>'C10'!E9</f>
        <v>193875000</v>
      </c>
      <c r="F24" s="50">
        <f>'C10'!F9</f>
        <v>258637500.00000003</v>
      </c>
      <c r="G24" s="50">
        <f>'C10'!G9</f>
        <v>294483750.0000001</v>
      </c>
      <c r="H24" s="50">
        <f>'C10'!H9</f>
        <v>334912875.0000001</v>
      </c>
    </row>
    <row r="25" spans="1:8" ht="12.75">
      <c r="A25" s="49"/>
      <c r="B25" s="48" t="s">
        <v>217</v>
      </c>
      <c r="D25" s="50"/>
      <c r="E25" s="50"/>
      <c r="F25" s="50"/>
      <c r="G25" s="50"/>
      <c r="H25" s="50"/>
    </row>
    <row r="26" spans="1:8" ht="12.75">
      <c r="A26" s="49"/>
      <c r="B26" s="40" t="s">
        <v>218</v>
      </c>
      <c r="D26" s="50">
        <f>'C10'!D15</f>
        <v>188274630.96621183</v>
      </c>
      <c r="E26" s="50">
        <f>'C10'!E15</f>
        <v>180872792.22591254</v>
      </c>
      <c r="F26" s="50">
        <f>'C10'!F15</f>
        <v>147317903.74135184</v>
      </c>
      <c r="G26" s="50">
        <f>'C10'!G15</f>
        <v>104535420.92353693</v>
      </c>
      <c r="H26" s="50">
        <f>'C10'!H15</f>
        <v>49987755.33082294</v>
      </c>
    </row>
    <row r="27" spans="1:8" ht="12.75">
      <c r="A27" s="49"/>
      <c r="B27" s="48" t="s">
        <v>219</v>
      </c>
      <c r="D27" s="50"/>
      <c r="E27" s="50"/>
      <c r="F27" s="50"/>
      <c r="G27" s="50"/>
      <c r="H27" s="50"/>
    </row>
    <row r="28" spans="1:8" ht="12.75">
      <c r="A28" s="49"/>
      <c r="B28" s="40" t="s">
        <v>220</v>
      </c>
      <c r="D28" s="50">
        <f>'C10'!D18</f>
        <v>230752950.62566993</v>
      </c>
      <c r="E28" s="50">
        <f>'C10'!E18</f>
        <v>316977020.48808175</v>
      </c>
      <c r="F28" s="50">
        <f>'C10'!F18</f>
        <v>390930002.7199168</v>
      </c>
      <c r="G28" s="50">
        <f>'C10'!G18</f>
        <v>504763625.05124944</v>
      </c>
      <c r="H28" s="50">
        <f>'C10'!H18</f>
        <v>605848964.3158891</v>
      </c>
    </row>
    <row r="29" spans="1:8" ht="12.75">
      <c r="A29" s="49"/>
      <c r="B29" s="48" t="s">
        <v>221</v>
      </c>
      <c r="D29" s="50"/>
      <c r="E29" s="50"/>
      <c r="F29" s="50"/>
      <c r="G29" s="50"/>
      <c r="H29" s="50"/>
    </row>
    <row r="30" spans="1:8" ht="12.75">
      <c r="A30" s="49"/>
      <c r="B30" s="40" t="s">
        <v>216</v>
      </c>
      <c r="D30" s="50">
        <f>'C9'!G7+'C9'!G19</f>
        <v>10800000</v>
      </c>
      <c r="E30" s="50">
        <f>'C9'!H7+'C9'!H19</f>
        <v>12408000</v>
      </c>
      <c r="F30" s="50">
        <f>'C9'!I7+'C9'!I19</f>
        <v>16552800.000000002</v>
      </c>
      <c r="G30" s="50">
        <f>'C9'!J7+'C9'!J19</f>
        <v>18846960.000000007</v>
      </c>
      <c r="H30" s="50">
        <f>'C9'!K7+'C9'!K19</f>
        <v>21434424.000000007</v>
      </c>
    </row>
    <row r="31" spans="1:8" ht="12.75">
      <c r="A31" s="49"/>
      <c r="B31" s="40" t="s">
        <v>222</v>
      </c>
      <c r="D31" s="50">
        <f>'C9'!G8+'C9'!G20</f>
        <v>2700000</v>
      </c>
      <c r="E31" s="50">
        <f>'C9'!H8+'C9'!H20</f>
        <v>3102000</v>
      </c>
      <c r="F31" s="50">
        <f>'C9'!I8+'C9'!I20</f>
        <v>4138200.0000000005</v>
      </c>
      <c r="G31" s="50">
        <f>'C9'!J8+'C9'!J20</f>
        <v>4711740.000000002</v>
      </c>
      <c r="H31" s="50">
        <f>'C9'!K8+'C9'!K20</f>
        <v>5358606.000000002</v>
      </c>
    </row>
    <row r="32" spans="1:8" ht="12.75">
      <c r="A32" s="49"/>
      <c r="B32" s="40" t="s">
        <v>223</v>
      </c>
      <c r="D32" s="50">
        <f>'C9'!G9+'C9'!G21</f>
        <v>2700000</v>
      </c>
      <c r="E32" s="50">
        <f>'C9'!H9+'C9'!H21</f>
        <v>3102000</v>
      </c>
      <c r="F32" s="50">
        <f>'C9'!I9+'C9'!I21</f>
        <v>4138200.0000000005</v>
      </c>
      <c r="G32" s="50">
        <f>'C9'!J9+'C9'!J21</f>
        <v>4711740.000000002</v>
      </c>
      <c r="H32" s="50">
        <f>'C9'!K9+'C9'!K21</f>
        <v>5358606.000000002</v>
      </c>
    </row>
    <row r="33" spans="1:8" ht="12.75">
      <c r="A33" s="49"/>
      <c r="B33" s="40" t="s">
        <v>224</v>
      </c>
      <c r="D33" s="50">
        <f>'C9'!G10+'C9'!G22</f>
        <v>1350000</v>
      </c>
      <c r="E33" s="50">
        <f>'C9'!H10+'C9'!H22</f>
        <v>1551000</v>
      </c>
      <c r="F33" s="50">
        <f>'C9'!I10+'C9'!I22</f>
        <v>2069100.0000000002</v>
      </c>
      <c r="G33" s="50">
        <f>'C9'!J10+'C9'!J22</f>
        <v>2355870.000000001</v>
      </c>
      <c r="H33" s="50">
        <f>'C9'!K10+'C9'!K22</f>
        <v>2679303.000000001</v>
      </c>
    </row>
    <row r="34" spans="1:8" ht="12.75">
      <c r="A34" s="49"/>
      <c r="B34" s="40" t="s">
        <v>225</v>
      </c>
      <c r="D34" s="50">
        <f>'C7'!E27</f>
        <v>65577600</v>
      </c>
      <c r="E34" s="50">
        <f>'C7'!F27</f>
        <v>82245240</v>
      </c>
      <c r="F34" s="50">
        <f>'C7'!G27</f>
        <v>101044151.99999999</v>
      </c>
      <c r="G34" s="50">
        <f>'C7'!H27</f>
        <v>122200271.32499996</v>
      </c>
      <c r="H34" s="50">
        <f>'C7'!I27</f>
        <v>145961435.19374996</v>
      </c>
    </row>
    <row r="35" spans="1:8" ht="12.75">
      <c r="A35" s="49"/>
      <c r="B35" s="40" t="s">
        <v>226</v>
      </c>
      <c r="D35" s="50">
        <f>-'C10'!D17</f>
        <v>108872732.14049664</v>
      </c>
      <c r="E35" s="50">
        <f>-'C10'!E17</f>
        <v>153291192.37264818</v>
      </c>
      <c r="F35" s="50">
        <f>-'C10'!F17</f>
        <v>191388183.21935108</v>
      </c>
      <c r="G35" s="50">
        <f>-'C10'!G17</f>
        <v>250029746.23852247</v>
      </c>
      <c r="H35" s="50">
        <f>-'C10'!H17</f>
        <v>302104011.9203066</v>
      </c>
    </row>
    <row r="36" spans="1:8" ht="12.75">
      <c r="A36" s="49"/>
      <c r="B36" s="40" t="s">
        <v>307</v>
      </c>
      <c r="D36" s="50">
        <f>'C9'!G29</f>
        <v>5728916.16</v>
      </c>
      <c r="E36" s="50">
        <f>'C9'!H29</f>
        <v>6683735.5200000005</v>
      </c>
      <c r="F36" s="50">
        <f>'C9'!I29</f>
        <v>7638554.88</v>
      </c>
      <c r="G36" s="50">
        <f>'C9'!J29</f>
        <v>8593374.24</v>
      </c>
      <c r="H36" s="50">
        <f>'C9'!K29</f>
        <v>9548193.6</v>
      </c>
    </row>
    <row r="37" spans="1:8" ht="12.75">
      <c r="A37" s="49"/>
      <c r="B37" s="48" t="s">
        <v>212</v>
      </c>
      <c r="C37" s="138"/>
      <c r="D37" s="78">
        <f>'C9'!G30</f>
        <v>12030723.935999999</v>
      </c>
      <c r="E37" s="78">
        <f>'C9'!H30</f>
        <v>14035844.591999998</v>
      </c>
      <c r="F37" s="78">
        <f>'C9'!I30</f>
        <v>16040965.248</v>
      </c>
      <c r="G37" s="78">
        <f>'C9'!J30</f>
        <v>18046085.904</v>
      </c>
      <c r="H37" s="78">
        <f>'C9'!K30</f>
        <v>20051206.56</v>
      </c>
    </row>
    <row r="38" spans="1:19" ht="18" customHeight="1" thickBot="1">
      <c r="A38" s="53" t="s">
        <v>43</v>
      </c>
      <c r="B38" s="52" t="s">
        <v>131</v>
      </c>
      <c r="C38" s="140"/>
      <c r="D38" s="119">
        <f>SUM(D21:D37)</f>
        <v>828900753.8283783</v>
      </c>
      <c r="E38" s="119">
        <f>SUM(E21:E37)</f>
        <v>1006563745.1986425</v>
      </c>
      <c r="F38" s="119">
        <f>SUM(F21:F37)</f>
        <v>1185999465.8086197</v>
      </c>
      <c r="G38" s="119">
        <f>SUM(G21:G37)</f>
        <v>1387738820.282309</v>
      </c>
      <c r="H38" s="119">
        <f>SUM(H21:H37)</f>
        <v>1566782323.6207685</v>
      </c>
      <c r="I38" s="112"/>
      <c r="J38" s="112"/>
      <c r="K38" s="112"/>
      <c r="L38" s="112"/>
      <c r="M38" s="62"/>
      <c r="N38" s="62"/>
      <c r="O38" s="62"/>
      <c r="P38" s="62"/>
      <c r="Q38" s="62"/>
      <c r="R38" s="62"/>
      <c r="S38" s="62"/>
    </row>
    <row r="39" spans="1:8" ht="17.25" customHeight="1" thickTop="1">
      <c r="A39" s="53" t="s">
        <v>45</v>
      </c>
      <c r="B39" s="52" t="s">
        <v>359</v>
      </c>
      <c r="C39" s="52"/>
      <c r="D39" s="120">
        <f>D19+D38</f>
        <v>946041562.4870983</v>
      </c>
      <c r="E39" s="120">
        <f>E19+E38</f>
        <v>1137005434.4870985</v>
      </c>
      <c r="F39" s="120">
        <f>F19+F38</f>
        <v>1327969306.4870985</v>
      </c>
      <c r="G39" s="120">
        <f>G19+G38</f>
        <v>1541428137.8491118</v>
      </c>
      <c r="H39" s="120">
        <f>H19+H38</f>
        <v>1732392009.8491116</v>
      </c>
    </row>
    <row r="40" spans="1:8" ht="13.5" customHeight="1">
      <c r="A40" s="49" t="s">
        <v>47</v>
      </c>
      <c r="B40" s="40" t="s">
        <v>132</v>
      </c>
      <c r="C40" s="138"/>
      <c r="D40" s="78">
        <f>'C4'!H22</f>
        <v>199741669.5129016</v>
      </c>
      <c r="E40" s="78">
        <f>'C4'!I22</f>
        <v>199741669.5129016</v>
      </c>
      <c r="F40" s="78">
        <f>'C4'!J22</f>
        <v>199741669.5129016</v>
      </c>
      <c r="G40" s="78">
        <f>'C4'!K22</f>
        <v>177246710.15088826</v>
      </c>
      <c r="H40" s="78">
        <f>'C4'!L22</f>
        <v>177246710.15088826</v>
      </c>
    </row>
    <row r="41" spans="1:8" ht="18" customHeight="1" thickBot="1">
      <c r="A41" s="53" t="s">
        <v>49</v>
      </c>
      <c r="B41" s="52" t="s">
        <v>133</v>
      </c>
      <c r="C41" s="140"/>
      <c r="D41" s="119">
        <f>D39+D40</f>
        <v>1145783232</v>
      </c>
      <c r="E41" s="119">
        <f>E39+E40</f>
        <v>1336747104</v>
      </c>
      <c r="F41" s="119">
        <f>F39+F40</f>
        <v>1527710976</v>
      </c>
      <c r="G41" s="119">
        <f>G39+G40</f>
        <v>1718674848</v>
      </c>
      <c r="H41" s="119">
        <f>H39+H40</f>
        <v>1909638719.9999998</v>
      </c>
    </row>
    <row r="42" spans="1:8" ht="13.5" thickTop="1">
      <c r="A42" s="49"/>
      <c r="C42" s="48"/>
      <c r="D42" s="177"/>
      <c r="E42" s="177"/>
      <c r="F42" s="177"/>
      <c r="G42" s="177"/>
      <c r="H42" s="177"/>
    </row>
    <row r="43" spans="1:8" ht="18" customHeight="1">
      <c r="A43" s="53"/>
      <c r="B43" s="52" t="s">
        <v>424</v>
      </c>
      <c r="C43" s="52"/>
      <c r="D43" s="227"/>
      <c r="E43" s="227"/>
      <c r="F43" s="227"/>
      <c r="G43" s="227"/>
      <c r="H43" s="227"/>
    </row>
    <row r="44" spans="1:8" ht="18" customHeight="1">
      <c r="A44" s="53" t="s">
        <v>425</v>
      </c>
      <c r="B44" s="52" t="s">
        <v>426</v>
      </c>
      <c r="C44" s="52"/>
      <c r="D44" s="227">
        <f>D38/D39</f>
        <v>0.8761779468221645</v>
      </c>
      <c r="E44" s="227">
        <f>E38/E39</f>
        <v>0.8852761074556359</v>
      </c>
      <c r="F44" s="227">
        <f>F38/F39</f>
        <v>0.8930925285810754</v>
      </c>
      <c r="G44" s="227">
        <f>G38/G39</f>
        <v>0.9002942052288868</v>
      </c>
      <c r="H44" s="227">
        <f>H38/H39</f>
        <v>0.9044040348334512</v>
      </c>
    </row>
    <row r="45" spans="1:8" ht="18" customHeight="1">
      <c r="A45" s="53"/>
      <c r="B45" s="52" t="s">
        <v>427</v>
      </c>
      <c r="C45" s="52"/>
      <c r="D45" s="227">
        <f>AVERAGE(D44:H44)</f>
        <v>0.8918489645842428</v>
      </c>
      <c r="E45" s="227"/>
      <c r="F45" s="227"/>
      <c r="G45" s="227"/>
      <c r="H45" s="227"/>
    </row>
    <row r="46" spans="1:8" ht="18" customHeight="1">
      <c r="A46" s="53" t="s">
        <v>428</v>
      </c>
      <c r="B46" s="52" t="s">
        <v>429</v>
      </c>
      <c r="C46" s="52"/>
      <c r="D46" s="227">
        <f>D19/D39</f>
        <v>0.1238220531778354</v>
      </c>
      <c r="E46" s="227">
        <f>E19/E39</f>
        <v>0.11472389254436419</v>
      </c>
      <c r="F46" s="227">
        <f>F19/F39</f>
        <v>0.10690747141892476</v>
      </c>
      <c r="G46" s="227">
        <f>G19/G39</f>
        <v>0.0997057947711132</v>
      </c>
      <c r="H46" s="227">
        <f>H19/H39</f>
        <v>0.09559596516654865</v>
      </c>
    </row>
    <row r="47" spans="1:8" ht="18" customHeight="1">
      <c r="A47" s="49"/>
      <c r="B47" s="52" t="s">
        <v>427</v>
      </c>
      <c r="C47" s="52"/>
      <c r="D47" s="227">
        <f>AVERAGE(D46:H46)</f>
        <v>0.10815103541575724</v>
      </c>
      <c r="E47" s="227"/>
      <c r="F47" s="227"/>
      <c r="G47" s="227"/>
      <c r="H47" s="227"/>
    </row>
    <row r="48" spans="1:8" ht="12.75">
      <c r="A48" s="49"/>
      <c r="D48" s="50"/>
      <c r="E48" s="50"/>
      <c r="F48" s="50"/>
      <c r="G48" s="50"/>
      <c r="H48" s="50"/>
    </row>
    <row r="49" spans="1:8" ht="15.75">
      <c r="A49" s="49"/>
      <c r="B49" s="412" t="s">
        <v>447</v>
      </c>
      <c r="D49" s="50"/>
      <c r="E49" s="50"/>
      <c r="F49" s="50"/>
      <c r="G49" s="50"/>
      <c r="H49" s="50"/>
    </row>
    <row r="50" spans="1:8" ht="12.75">
      <c r="A50" s="49"/>
      <c r="B50" s="354" t="s">
        <v>575</v>
      </c>
      <c r="C50" s="40">
        <v>0</v>
      </c>
      <c r="D50" s="50">
        <f>'C8'!E24</f>
        <v>1145783232</v>
      </c>
      <c r="E50" s="50">
        <f>'C8'!F24</f>
        <v>1336747104</v>
      </c>
      <c r="F50" s="50">
        <f>'C8'!G24</f>
        <v>1527710976</v>
      </c>
      <c r="G50" s="50">
        <f>'C8'!H24</f>
        <v>1718674848</v>
      </c>
      <c r="H50" s="50">
        <f>'C8'!I24</f>
        <v>1909638720</v>
      </c>
    </row>
    <row r="51" spans="1:2" ht="12.75">
      <c r="A51" s="49"/>
      <c r="B51" s="354"/>
    </row>
    <row r="52" spans="1:2" ht="12.75">
      <c r="A52" s="49"/>
      <c r="B52" s="354"/>
    </row>
    <row r="53" ht="12.75">
      <c r="A53" s="49"/>
    </row>
    <row r="54" ht="12.75">
      <c r="A54" s="49"/>
    </row>
    <row r="55" spans="1:4" ht="12.75">
      <c r="A55" s="49"/>
      <c r="D55" s="228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</sheetData>
  <printOptions horizontalCentered="1" verticalCentered="1"/>
  <pageMargins left="0.5905511811023623" right="0.75" top="1" bottom="1" header="0" footer="0"/>
  <pageSetup horizontalDpi="300" verticalDpi="300" orientation="portrait" paperSize="9" scale="90" r:id="rId1"/>
  <ignoredErrors>
    <ignoredError sqref="D4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40" customWidth="1"/>
    <col min="2" max="2" width="7.140625" style="40" customWidth="1"/>
    <col min="3" max="3" width="16.7109375" style="40" bestFit="1" customWidth="1"/>
    <col min="4" max="4" width="14.8515625" style="40" customWidth="1"/>
    <col min="5" max="7" width="14.57421875" style="40" bestFit="1" customWidth="1"/>
    <col min="8" max="16384" width="11.421875" style="40" customWidth="1"/>
  </cols>
  <sheetData>
    <row r="1" s="377" customFormat="1" ht="24" customHeight="1">
      <c r="A1" s="352" t="s">
        <v>134</v>
      </c>
    </row>
    <row r="2" spans="1:7" s="377" customFormat="1" ht="24" customHeight="1">
      <c r="A2" s="378" t="s">
        <v>135</v>
      </c>
      <c r="B2" s="382"/>
      <c r="C2" s="382"/>
      <c r="D2" s="382"/>
      <c r="E2" s="382"/>
      <c r="F2" s="382"/>
      <c r="G2" s="382"/>
    </row>
    <row r="3" ht="12.75">
      <c r="A3" s="48"/>
    </row>
    <row r="4" spans="2:7" ht="37.5" customHeight="1">
      <c r="B4" s="46" t="s">
        <v>117</v>
      </c>
      <c r="C4" s="46" t="s">
        <v>276</v>
      </c>
      <c r="D4" s="46" t="s">
        <v>613</v>
      </c>
      <c r="E4" s="46" t="s">
        <v>125</v>
      </c>
      <c r="F4" s="46" t="s">
        <v>99</v>
      </c>
      <c r="G4" s="46" t="s">
        <v>611</v>
      </c>
    </row>
    <row r="5" spans="1:7" ht="18" customHeight="1" thickBot="1">
      <c r="A5" s="52" t="s">
        <v>349</v>
      </c>
      <c r="B5" s="225"/>
      <c r="C5" s="226">
        <f>'C1'!E19</f>
        <v>202435.2</v>
      </c>
      <c r="D5" s="226">
        <f>'C1'!F19</f>
        <v>236174.40000000002</v>
      </c>
      <c r="E5" s="226">
        <f>'C1'!G19</f>
        <v>269913.6</v>
      </c>
      <c r="F5" s="226">
        <f>'C1'!H19</f>
        <v>303652.8</v>
      </c>
      <c r="G5" s="226">
        <f>'C1'!I19</f>
        <v>337392</v>
      </c>
    </row>
    <row r="6" spans="1:7" ht="13.5" thickTop="1">
      <c r="A6" s="48" t="s">
        <v>136</v>
      </c>
      <c r="C6" s="50"/>
      <c r="D6" s="50"/>
      <c r="E6" s="50"/>
      <c r="F6" s="50"/>
      <c r="G6" s="50"/>
    </row>
    <row r="7" spans="1:7" ht="12.75">
      <c r="A7" s="40" t="s">
        <v>137</v>
      </c>
      <c r="C7" s="50"/>
      <c r="D7" s="50"/>
      <c r="E7" s="50"/>
      <c r="F7" s="50"/>
      <c r="G7" s="50"/>
    </row>
    <row r="8" spans="1:7" ht="12.75">
      <c r="A8" s="40" t="s">
        <v>362</v>
      </c>
      <c r="C8" s="50">
        <f>'C6F'!C16</f>
        <v>67500000</v>
      </c>
      <c r="D8" s="50">
        <f>'C6F'!D16</f>
        <v>74250000</v>
      </c>
      <c r="E8" s="50">
        <f>'C6F'!E16</f>
        <v>104362500</v>
      </c>
      <c r="F8" s="50">
        <f>'C6F'!F16</f>
        <v>114798750.00000003</v>
      </c>
      <c r="G8" s="50">
        <f>'C6F'!G16</f>
        <v>126278625.00000003</v>
      </c>
    </row>
    <row r="9" spans="1:7" ht="12.75">
      <c r="A9" s="40" t="s">
        <v>121</v>
      </c>
      <c r="B9" s="62"/>
      <c r="C9" s="50">
        <f>'C9'!G17</f>
        <v>44929034.591800004</v>
      </c>
      <c r="D9" s="50">
        <f>'C9'!H17</f>
        <v>48876462.518190004</v>
      </c>
      <c r="E9" s="50">
        <f>'C9'!I17</f>
        <v>55110940.9696995</v>
      </c>
      <c r="F9" s="50">
        <f>'C9'!J17</f>
        <v>59373839.47258448</v>
      </c>
      <c r="G9" s="50">
        <f>'C9'!K17</f>
        <v>63823762.52941371</v>
      </c>
    </row>
    <row r="10" spans="1:7" ht="12.75">
      <c r="A10" s="40" t="s">
        <v>123</v>
      </c>
      <c r="B10" s="62"/>
      <c r="C10" s="50">
        <f>'C11'!D26</f>
        <v>188274630.96621183</v>
      </c>
      <c r="D10" s="50">
        <f>'C11'!E26</f>
        <v>180872792.22591254</v>
      </c>
      <c r="E10" s="50">
        <f>'C11'!F26</f>
        <v>147317903.74135184</v>
      </c>
      <c r="F10" s="50">
        <f>'C11'!G26</f>
        <v>104535420.92353693</v>
      </c>
      <c r="G10" s="50">
        <f>'C11'!H26</f>
        <v>49987755.33082294</v>
      </c>
    </row>
    <row r="11" spans="1:7" ht="12.75">
      <c r="A11" s="40" t="s">
        <v>132</v>
      </c>
      <c r="C11" s="78">
        <f>'C11'!D40</f>
        <v>199741669.5129016</v>
      </c>
      <c r="D11" s="78">
        <f>'C11'!E40</f>
        <v>199741669.5129016</v>
      </c>
      <c r="E11" s="78">
        <f>'C11'!F40</f>
        <v>199741669.5129016</v>
      </c>
      <c r="F11" s="78">
        <f>'C11'!G40</f>
        <v>177246710.15088826</v>
      </c>
      <c r="G11" s="78">
        <f>'C11'!H40</f>
        <v>177246710.15088826</v>
      </c>
    </row>
    <row r="12" spans="1:7" ht="18" customHeight="1" thickBot="1">
      <c r="A12" s="229" t="s">
        <v>138</v>
      </c>
      <c r="B12" s="67"/>
      <c r="C12" s="119">
        <f>SUM(C8:C11)</f>
        <v>500445335.07091343</v>
      </c>
      <c r="D12" s="119">
        <f>SUM(D8:D11)</f>
        <v>503740924.25700414</v>
      </c>
      <c r="E12" s="119">
        <f>SUM(E8:E11)</f>
        <v>506533014.22395295</v>
      </c>
      <c r="F12" s="119">
        <f>SUM(F8:F11)</f>
        <v>455954720.5470097</v>
      </c>
      <c r="G12" s="119">
        <f>SUM(G8:G11)</f>
        <v>417336853.01112497</v>
      </c>
    </row>
    <row r="13" spans="1:7" ht="13.5" thickTop="1">
      <c r="A13" s="230"/>
      <c r="B13" s="62"/>
      <c r="C13" s="118"/>
      <c r="D13" s="118"/>
      <c r="E13" s="118"/>
      <c r="F13" s="118"/>
      <c r="G13" s="118"/>
    </row>
    <row r="14" spans="1:7" ht="12.75">
      <c r="A14" s="48" t="s">
        <v>139</v>
      </c>
      <c r="B14" s="62"/>
      <c r="C14" s="50"/>
      <c r="D14" s="50"/>
      <c r="E14" s="50"/>
      <c r="F14" s="50"/>
      <c r="G14" s="50"/>
    </row>
    <row r="15" spans="1:7" ht="12.75">
      <c r="A15" s="40" t="s">
        <v>137</v>
      </c>
      <c r="C15" s="50">
        <f>'C10'!D8</f>
        <v>96940800</v>
      </c>
      <c r="D15" s="50">
        <f>'C10'!E8</f>
        <v>120665160</v>
      </c>
      <c r="E15" s="50">
        <f>'C10'!F8</f>
        <v>147148055.99999997</v>
      </c>
      <c r="F15" s="50">
        <f>'C10'!G8</f>
        <v>176660507.92499995</v>
      </c>
      <c r="G15" s="50">
        <f>'C10'!H8</f>
        <v>209498377.89374995</v>
      </c>
    </row>
    <row r="16" spans="1:7" ht="12.75">
      <c r="A16" s="40" t="s">
        <v>362</v>
      </c>
      <c r="C16" s="50">
        <f>'C6F'!C17</f>
        <v>101250000</v>
      </c>
      <c r="D16" s="50">
        <f>'C6F'!D17</f>
        <v>119625000.00000001</v>
      </c>
      <c r="E16" s="50">
        <f>'C6F'!E17</f>
        <v>154275000.00000003</v>
      </c>
      <c r="F16" s="50">
        <f>'C6F'!F17</f>
        <v>179685000.00000006</v>
      </c>
      <c r="G16" s="50">
        <f>'C6F'!G17</f>
        <v>208634250.00000006</v>
      </c>
    </row>
    <row r="17" spans="1:7" ht="12.75">
      <c r="A17" s="40" t="s">
        <v>121</v>
      </c>
      <c r="C17" s="50">
        <f>'C9'!G31</f>
        <v>107521414.16292</v>
      </c>
      <c r="D17" s="50">
        <f>'C9'!H31</f>
        <v>122447806.88226599</v>
      </c>
      <c r="E17" s="50">
        <f>'C9'!I31</f>
        <v>137436719.8367793</v>
      </c>
      <c r="F17" s="50">
        <f>'C9'!J31</f>
        <v>151581248.23821828</v>
      </c>
      <c r="G17" s="50">
        <f>'C9'!K31</f>
        <v>166216262.8589292</v>
      </c>
    </row>
    <row r="18" spans="1:7" ht="12.75">
      <c r="A18" s="40" t="s">
        <v>123</v>
      </c>
      <c r="C18" s="50"/>
      <c r="D18" s="50"/>
      <c r="E18" s="50"/>
      <c r="F18" s="50"/>
      <c r="G18" s="50"/>
    </row>
    <row r="19" spans="1:7" ht="12.75">
      <c r="A19" s="40" t="s">
        <v>132</v>
      </c>
      <c r="B19" s="138"/>
      <c r="C19" s="78"/>
      <c r="D19" s="78"/>
      <c r="E19" s="78"/>
      <c r="F19" s="78"/>
      <c r="G19" s="78"/>
    </row>
    <row r="20" spans="1:7" ht="18" customHeight="1" thickBot="1">
      <c r="A20" s="52" t="s">
        <v>140</v>
      </c>
      <c r="B20" s="140"/>
      <c r="C20" s="119">
        <f>SUM(C15:C19)</f>
        <v>305712214.16292</v>
      </c>
      <c r="D20" s="119">
        <f>SUM(D15:D19)</f>
        <v>362737966.882266</v>
      </c>
      <c r="E20" s="119">
        <f>SUM(E15:E19)</f>
        <v>438859775.8367793</v>
      </c>
      <c r="F20" s="119">
        <f>SUM(F15:F19)</f>
        <v>507926756.16321826</v>
      </c>
      <c r="G20" s="119">
        <f>SUM(G15:G19)</f>
        <v>584348890.7526792</v>
      </c>
    </row>
    <row r="21" spans="1:7" ht="18" customHeight="1" thickTop="1">
      <c r="A21" s="52" t="s">
        <v>374</v>
      </c>
      <c r="B21" s="231"/>
      <c r="C21" s="232">
        <f>C12+C20</f>
        <v>806157549.2338334</v>
      </c>
      <c r="D21" s="232">
        <f>D12+D20</f>
        <v>866478891.1392701</v>
      </c>
      <c r="E21" s="232">
        <f>E12+E20</f>
        <v>945392790.0607322</v>
      </c>
      <c r="F21" s="232">
        <f>F12+F20</f>
        <v>963881476.710228</v>
      </c>
      <c r="G21" s="232">
        <f>G12+G20</f>
        <v>1001685743.7638042</v>
      </c>
    </row>
    <row r="22" spans="1:7" ht="12.75">
      <c r="A22" s="40" t="s">
        <v>141</v>
      </c>
      <c r="C22" s="50">
        <f>-'C10'!D17</f>
        <v>108872732.14049664</v>
      </c>
      <c r="D22" s="50">
        <f>-'C10'!E17</f>
        <v>153291192.37264818</v>
      </c>
      <c r="E22" s="50">
        <f>-'C10'!F17</f>
        <v>191388183.21935108</v>
      </c>
      <c r="F22" s="50">
        <f>-'C10'!G17</f>
        <v>250029746.23852247</v>
      </c>
      <c r="G22" s="50">
        <f>-'C10'!H17</f>
        <v>302104011.9203066</v>
      </c>
    </row>
    <row r="23" spans="1:7" ht="12.75">
      <c r="A23" s="40" t="s">
        <v>130</v>
      </c>
      <c r="B23" s="138"/>
      <c r="C23" s="78">
        <f>'C11'!D28</f>
        <v>230752950.62566993</v>
      </c>
      <c r="D23" s="78">
        <f>'C11'!E28</f>
        <v>316977020.48808175</v>
      </c>
      <c r="E23" s="78">
        <f>'C11'!F28</f>
        <v>390930002.7199168</v>
      </c>
      <c r="F23" s="78">
        <f>'C11'!G28</f>
        <v>504763625.05124944</v>
      </c>
      <c r="G23" s="78">
        <f>'C11'!H28</f>
        <v>605848964.3158891</v>
      </c>
    </row>
    <row r="24" spans="1:7" ht="18" customHeight="1" thickBot="1">
      <c r="A24" s="52" t="s">
        <v>96</v>
      </c>
      <c r="B24" s="140"/>
      <c r="C24" s="119">
        <f>SUM(C21:C23)</f>
        <v>1145783232</v>
      </c>
      <c r="D24" s="119">
        <f>SUM(D21:D23)</f>
        <v>1336747104</v>
      </c>
      <c r="E24" s="119">
        <f>SUM(E21:E23)</f>
        <v>1527710976.0000002</v>
      </c>
      <c r="F24" s="119">
        <f>SUM(F21:F23)</f>
        <v>1718674848</v>
      </c>
      <c r="G24" s="119">
        <f>SUM(G21:G23)</f>
        <v>1909638720</v>
      </c>
    </row>
    <row r="25" spans="3:7" ht="13.5" thickTop="1">
      <c r="C25" s="50"/>
      <c r="D25" s="50"/>
      <c r="E25" s="50"/>
      <c r="F25" s="50"/>
      <c r="G25" s="50"/>
    </row>
    <row r="26" spans="1:7" ht="12.75">
      <c r="A26" s="48" t="s">
        <v>142</v>
      </c>
      <c r="C26" s="50"/>
      <c r="D26" s="50"/>
      <c r="E26" s="50"/>
      <c r="F26" s="50"/>
      <c r="G26" s="50"/>
    </row>
    <row r="27" spans="1:7" ht="12.75">
      <c r="A27" s="40" t="s">
        <v>143</v>
      </c>
      <c r="C27" s="50"/>
      <c r="D27" s="50"/>
      <c r="E27" s="50"/>
      <c r="F27" s="50"/>
      <c r="G27" s="50"/>
    </row>
    <row r="28" spans="1:7" ht="18" customHeight="1">
      <c r="A28" s="52" t="s">
        <v>144</v>
      </c>
      <c r="B28" s="59"/>
      <c r="C28" s="227">
        <f>C12/(C24-C20)</f>
        <v>0.5957178910414069</v>
      </c>
      <c r="D28" s="227">
        <f>D12/(D24-D20)</f>
        <v>0.5171829555394758</v>
      </c>
      <c r="E28" s="227">
        <f>E12/(E24-E20)</f>
        <v>0.4651994819384161</v>
      </c>
      <c r="F28" s="227">
        <f>F12/(F24-F20)</f>
        <v>0.37658925388459413</v>
      </c>
      <c r="G28" s="227">
        <f>G12/(G24-G20)</f>
        <v>0.3149023283821211</v>
      </c>
    </row>
    <row r="29" spans="1:7" ht="12.75">
      <c r="A29" s="40" t="s">
        <v>347</v>
      </c>
      <c r="C29" s="50">
        <f>C5*C28</f>
        <v>120594.27041654543</v>
      </c>
      <c r="D29" s="50">
        <f>D5*D28</f>
        <v>122145.37421476239</v>
      </c>
      <c r="E29" s="50">
        <f>E5*E28</f>
        <v>125563.66688813285</v>
      </c>
      <c r="F29" s="50">
        <f>F5*F28</f>
        <v>114352.38139196788</v>
      </c>
      <c r="G29" s="50">
        <f>G5*G28</f>
        <v>106245.5263775006</v>
      </c>
    </row>
    <row r="30" spans="1:7" ht="12.75">
      <c r="A30" s="40" t="s">
        <v>145</v>
      </c>
      <c r="C30" s="50">
        <f>C24*C28</f>
        <v>682563570.5576471</v>
      </c>
      <c r="D30" s="50">
        <f>D24*D28</f>
        <v>691342818.055555</v>
      </c>
      <c r="E30" s="50">
        <f>E24*E28</f>
        <v>710690354.5868322</v>
      </c>
      <c r="F30" s="50">
        <f>F24*F28</f>
        <v>647234478.6785382</v>
      </c>
      <c r="G30" s="50">
        <f>G24*G28</f>
        <v>601349679.2966535</v>
      </c>
    </row>
    <row r="31" spans="1:7" ht="12.75">
      <c r="A31" s="40" t="s">
        <v>146</v>
      </c>
      <c r="C31" s="233">
        <f>$B44*C28</f>
        <v>7.148614692496883</v>
      </c>
      <c r="D31" s="233">
        <f>$B44*D28</f>
        <v>6.20619546647371</v>
      </c>
      <c r="E31" s="233">
        <f>$B44*E28</f>
        <v>5.582393783260994</v>
      </c>
      <c r="F31" s="233">
        <f>$B44*F28</f>
        <v>4.51907104661513</v>
      </c>
      <c r="G31" s="233">
        <f>$B44*G28</f>
        <v>3.7788279405854537</v>
      </c>
    </row>
    <row r="32" spans="1:7" ht="12.75">
      <c r="A32" s="40" t="s">
        <v>148</v>
      </c>
      <c r="C32" s="233">
        <f>$B45*C28</f>
        <v>157.26952323493143</v>
      </c>
      <c r="D32" s="233">
        <f>$B45*D28</f>
        <v>136.5363002624216</v>
      </c>
      <c r="E32" s="233">
        <f>$B45*E28</f>
        <v>122.81266323174185</v>
      </c>
      <c r="F32" s="233">
        <f>$B45*F28</f>
        <v>99.41956302553285</v>
      </c>
      <c r="G32" s="233">
        <f>$B45*G28</f>
        <v>83.13421469287998</v>
      </c>
    </row>
    <row r="33" ht="12.75">
      <c r="E33" s="219"/>
    </row>
    <row r="34" spans="1:4" ht="12.75">
      <c r="A34" s="387" t="s">
        <v>147</v>
      </c>
      <c r="D34" s="354"/>
    </row>
    <row r="35" spans="1:4" ht="12.75">
      <c r="A35" s="354" t="s">
        <v>143</v>
      </c>
      <c r="D35" s="354"/>
    </row>
    <row r="36" spans="1:7" ht="18" customHeight="1">
      <c r="A36" s="420" t="s">
        <v>144</v>
      </c>
      <c r="B36" s="59"/>
      <c r="C36" s="227">
        <f>AVERAGE(C28:G28)</f>
        <v>0.45391838215720287</v>
      </c>
      <c r="D36" s="363" t="s">
        <v>415</v>
      </c>
      <c r="E36" s="59"/>
      <c r="F36" s="59"/>
      <c r="G36" s="59"/>
    </row>
    <row r="37" spans="1:4" ht="12.75">
      <c r="A37" s="354" t="s">
        <v>347</v>
      </c>
      <c r="C37" s="50">
        <f>AVERAGE(C29:G29)</f>
        <v>117780.24385778182</v>
      </c>
      <c r="D37" s="354" t="s">
        <v>416</v>
      </c>
    </row>
    <row r="38" spans="1:4" ht="12.75">
      <c r="A38" s="354" t="s">
        <v>145</v>
      </c>
      <c r="C38" s="50">
        <f>AVERAGE(C30:G30)</f>
        <v>666636180.2350452</v>
      </c>
      <c r="D38" s="354" t="s">
        <v>417</v>
      </c>
    </row>
    <row r="39" spans="1:4" ht="12.75">
      <c r="A39" s="354" t="s">
        <v>146</v>
      </c>
      <c r="C39" s="233">
        <f>AVERAGE(C31:G31)</f>
        <v>5.447020585886434</v>
      </c>
      <c r="D39" s="354" t="s">
        <v>418</v>
      </c>
    </row>
    <row r="40" spans="1:4" ht="12.75">
      <c r="A40" s="354" t="s">
        <v>148</v>
      </c>
      <c r="C40" s="233">
        <f>AVERAGE(C32:G32)</f>
        <v>119.83445288950153</v>
      </c>
      <c r="D40" s="354" t="s">
        <v>419</v>
      </c>
    </row>
    <row r="41" spans="1:4" ht="12.75">
      <c r="A41" s="354"/>
      <c r="C41" s="50"/>
      <c r="D41" s="354"/>
    </row>
    <row r="42" spans="1:7" ht="15.75">
      <c r="A42" s="412" t="s">
        <v>447</v>
      </c>
      <c r="C42" s="50"/>
      <c r="D42" s="50"/>
      <c r="E42" s="50"/>
      <c r="F42" s="50"/>
      <c r="G42" s="50"/>
    </row>
    <row r="43" spans="1:7" ht="12.75">
      <c r="A43" s="354" t="s">
        <v>597</v>
      </c>
      <c r="C43" s="50">
        <f>'C8'!E24</f>
        <v>1145783232</v>
      </c>
      <c r="D43" s="50">
        <f>'C8'!F24</f>
        <v>1336747104</v>
      </c>
      <c r="E43" s="50">
        <f>'C8'!G24</f>
        <v>1527710976</v>
      </c>
      <c r="F43" s="50">
        <f>'C8'!H24</f>
        <v>1718674848</v>
      </c>
      <c r="G43" s="50">
        <f>'C8'!I24</f>
        <v>1909638720</v>
      </c>
    </row>
    <row r="44" spans="1:2" ht="12.75">
      <c r="A44" s="354" t="s">
        <v>468</v>
      </c>
      <c r="B44" s="50">
        <v>12</v>
      </c>
    </row>
    <row r="45" spans="1:2" ht="12.75">
      <c r="A45" s="354" t="s">
        <v>598</v>
      </c>
      <c r="B45" s="50">
        <v>264</v>
      </c>
    </row>
    <row r="46" spans="1:2" ht="12.75">
      <c r="A46" s="354"/>
      <c r="B46" s="50"/>
    </row>
  </sheetData>
  <printOptions horizontalCentered="1" verticalCentered="1"/>
  <pageMargins left="0.5905511811023623" right="0.75" top="1" bottom="1" header="0" footer="0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40" customWidth="1"/>
    <col min="2" max="2" width="12.8515625" style="40" customWidth="1"/>
    <col min="3" max="3" width="13.140625" style="40" customWidth="1"/>
    <col min="4" max="4" width="14.140625" style="40" customWidth="1"/>
    <col min="5" max="5" width="13.140625" style="40" customWidth="1"/>
    <col min="6" max="6" width="11.7109375" style="40" customWidth="1"/>
    <col min="7" max="7" width="13.421875" style="40" customWidth="1"/>
    <col min="8" max="9" width="11.7109375" style="40" customWidth="1"/>
    <col min="10" max="10" width="12.57421875" style="40" customWidth="1"/>
    <col min="11" max="11" width="13.28125" style="40" customWidth="1"/>
    <col min="12" max="12" width="13.421875" style="40" customWidth="1"/>
    <col min="13" max="13" width="12.57421875" style="40" customWidth="1"/>
    <col min="14" max="15" width="13.00390625" style="40" customWidth="1"/>
    <col min="16" max="16" width="13.57421875" style="40" customWidth="1"/>
    <col min="17" max="17" width="0.42578125" style="40" customWidth="1"/>
    <col min="18" max="18" width="13.7109375" style="40" customWidth="1"/>
    <col min="19" max="16384" width="11.421875" style="40" customWidth="1"/>
  </cols>
  <sheetData>
    <row r="1" s="377" customFormat="1" ht="24" customHeight="1">
      <c r="A1" s="352" t="s">
        <v>150</v>
      </c>
    </row>
    <row r="2" spans="1:18" s="377" customFormat="1" ht="23.25" customHeight="1">
      <c r="A2" s="355" t="s">
        <v>339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421"/>
      <c r="R2" s="358"/>
    </row>
    <row r="3" spans="1:18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5"/>
      <c r="R3" s="42"/>
    </row>
    <row r="4" spans="2:18" ht="33.75" customHeight="1">
      <c r="B4" s="46" t="s">
        <v>576</v>
      </c>
      <c r="C4" s="46" t="s">
        <v>577</v>
      </c>
      <c r="D4" s="46" t="s">
        <v>578</v>
      </c>
      <c r="E4" s="46" t="s">
        <v>579</v>
      </c>
      <c r="F4" s="46" t="s">
        <v>580</v>
      </c>
      <c r="G4" s="46" t="s">
        <v>581</v>
      </c>
      <c r="H4" s="46" t="s">
        <v>582</v>
      </c>
      <c r="I4" s="46" t="s">
        <v>583</v>
      </c>
      <c r="J4" s="46" t="s">
        <v>584</v>
      </c>
      <c r="K4" s="46" t="s">
        <v>585</v>
      </c>
      <c r="L4" s="46" t="s">
        <v>586</v>
      </c>
      <c r="M4" s="46" t="s">
        <v>587</v>
      </c>
      <c r="N4" s="46" t="s">
        <v>588</v>
      </c>
      <c r="O4" s="46" t="s">
        <v>589</v>
      </c>
      <c r="P4" s="46" t="s">
        <v>590</v>
      </c>
      <c r="Q4" s="47"/>
      <c r="R4" s="46" t="s">
        <v>278</v>
      </c>
    </row>
    <row r="5" spans="1:18" ht="18" customHeight="1" thickBot="1">
      <c r="A5" s="52" t="s">
        <v>349</v>
      </c>
      <c r="B5" s="226">
        <f>'C1'!E19/B35</f>
        <v>16869.600000000002</v>
      </c>
      <c r="C5" s="226">
        <f>B5</f>
        <v>16869.600000000002</v>
      </c>
      <c r="D5" s="226">
        <f aca="true" t="shared" si="0" ref="D5:M5">C5</f>
        <v>16869.600000000002</v>
      </c>
      <c r="E5" s="226">
        <f t="shared" si="0"/>
        <v>16869.600000000002</v>
      </c>
      <c r="F5" s="226">
        <f t="shared" si="0"/>
        <v>16869.600000000002</v>
      </c>
      <c r="G5" s="226">
        <f t="shared" si="0"/>
        <v>16869.600000000002</v>
      </c>
      <c r="H5" s="226">
        <f t="shared" si="0"/>
        <v>16869.600000000002</v>
      </c>
      <c r="I5" s="226">
        <f t="shared" si="0"/>
        <v>16869.600000000002</v>
      </c>
      <c r="J5" s="226">
        <f t="shared" si="0"/>
        <v>16869.600000000002</v>
      </c>
      <c r="K5" s="226">
        <f t="shared" si="0"/>
        <v>16869.600000000002</v>
      </c>
      <c r="L5" s="226">
        <f t="shared" si="0"/>
        <v>16869.600000000002</v>
      </c>
      <c r="M5" s="226">
        <f t="shared" si="0"/>
        <v>16869.600000000002</v>
      </c>
      <c r="N5" s="234"/>
      <c r="O5" s="234"/>
      <c r="P5" s="234"/>
      <c r="Q5" s="61"/>
      <c r="R5" s="119"/>
    </row>
    <row r="6" spans="1:18" ht="18" customHeight="1" thickTop="1">
      <c r="A6" s="235" t="s">
        <v>379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118"/>
      <c r="R6" s="50"/>
    </row>
    <row r="7" spans="1:18" ht="15" customHeight="1">
      <c r="A7" s="235" t="s">
        <v>375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118"/>
      <c r="R7" s="50"/>
    </row>
    <row r="8" spans="1:18" ht="12.75">
      <c r="A8" s="236" t="s">
        <v>153</v>
      </c>
      <c r="B8" s="50">
        <f>'C3'!G23</f>
        <v>39925000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18"/>
      <c r="R8" s="50">
        <f>SUM(B8:P8)</f>
        <v>39925000</v>
      </c>
    </row>
    <row r="9" spans="1:18" ht="12.75">
      <c r="A9" s="236" t="s">
        <v>154</v>
      </c>
      <c r="B9" s="50">
        <f>'C3'!H23</f>
        <v>162000000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8"/>
      <c r="R9" s="50">
        <f>SUM(B9:P9)</f>
        <v>162000000</v>
      </c>
    </row>
    <row r="10" spans="1:18" ht="12.75">
      <c r="A10" s="236" t="s">
        <v>155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118"/>
      <c r="R10" s="50">
        <f>SUM(B10:P10)</f>
        <v>0</v>
      </c>
    </row>
    <row r="11" spans="1:18" ht="15" customHeight="1">
      <c r="A11" s="235" t="s">
        <v>376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118"/>
      <c r="R11" s="50"/>
    </row>
    <row r="12" spans="1:18" ht="12.75">
      <c r="A12" s="236" t="s">
        <v>149</v>
      </c>
      <c r="B12" s="50"/>
      <c r="C12" s="50"/>
      <c r="D12" s="50"/>
      <c r="E12" s="50">
        <f>'C10'!D7/$B35</f>
        <v>95481936</v>
      </c>
      <c r="F12" s="50">
        <f>E12</f>
        <v>95481936</v>
      </c>
      <c r="G12" s="50">
        <f aca="true" t="shared" si="1" ref="G12:P12">F12</f>
        <v>95481936</v>
      </c>
      <c r="H12" s="50">
        <f t="shared" si="1"/>
        <v>95481936</v>
      </c>
      <c r="I12" s="50">
        <f t="shared" si="1"/>
        <v>95481936</v>
      </c>
      <c r="J12" s="50">
        <f t="shared" si="1"/>
        <v>95481936</v>
      </c>
      <c r="K12" s="50">
        <f t="shared" si="1"/>
        <v>95481936</v>
      </c>
      <c r="L12" s="50">
        <f t="shared" si="1"/>
        <v>95481936</v>
      </c>
      <c r="M12" s="50">
        <f t="shared" si="1"/>
        <v>95481936</v>
      </c>
      <c r="N12" s="50">
        <f t="shared" si="1"/>
        <v>95481936</v>
      </c>
      <c r="O12" s="50">
        <f t="shared" si="1"/>
        <v>95481936</v>
      </c>
      <c r="P12" s="50">
        <f t="shared" si="1"/>
        <v>95481936</v>
      </c>
      <c r="Q12" s="118"/>
      <c r="R12" s="50">
        <f>SUM(B12:P12)</f>
        <v>1145783232</v>
      </c>
    </row>
    <row r="13" spans="1:18" ht="18" customHeight="1" thickBot="1">
      <c r="A13" s="235" t="s">
        <v>156</v>
      </c>
      <c r="B13" s="123">
        <f>SUM(B8:B12)</f>
        <v>201925000</v>
      </c>
      <c r="C13" s="123">
        <f>SUM(C8:C12)</f>
        <v>0</v>
      </c>
      <c r="D13" s="123">
        <f aca="true" t="shared" si="2" ref="D13:R13">SUM(D8:D12)</f>
        <v>0</v>
      </c>
      <c r="E13" s="123">
        <f t="shared" si="2"/>
        <v>95481936</v>
      </c>
      <c r="F13" s="123">
        <f t="shared" si="2"/>
        <v>95481936</v>
      </c>
      <c r="G13" s="123">
        <f t="shared" si="2"/>
        <v>95481936</v>
      </c>
      <c r="H13" s="123">
        <f t="shared" si="2"/>
        <v>95481936</v>
      </c>
      <c r="I13" s="123">
        <f t="shared" si="2"/>
        <v>95481936</v>
      </c>
      <c r="J13" s="123">
        <f t="shared" si="2"/>
        <v>95481936</v>
      </c>
      <c r="K13" s="123">
        <f t="shared" si="2"/>
        <v>95481936</v>
      </c>
      <c r="L13" s="123">
        <f t="shared" si="2"/>
        <v>95481936</v>
      </c>
      <c r="M13" s="123">
        <f t="shared" si="2"/>
        <v>95481936</v>
      </c>
      <c r="N13" s="123">
        <f t="shared" si="2"/>
        <v>95481936</v>
      </c>
      <c r="O13" s="123">
        <f t="shared" si="2"/>
        <v>95481936</v>
      </c>
      <c r="P13" s="123">
        <f t="shared" si="2"/>
        <v>95481936</v>
      </c>
      <c r="Q13" s="123">
        <f t="shared" si="2"/>
        <v>0</v>
      </c>
      <c r="R13" s="123">
        <f t="shared" si="2"/>
        <v>1347708232</v>
      </c>
    </row>
    <row r="14" spans="1:18" ht="13.5" thickTop="1">
      <c r="A14" s="236"/>
      <c r="B14" s="118"/>
      <c r="C14" s="118"/>
      <c r="D14" s="118"/>
      <c r="E14" s="118"/>
      <c r="F14" s="118"/>
      <c r="G14" s="118"/>
      <c r="H14" s="50"/>
      <c r="I14" s="50"/>
      <c r="J14" s="50"/>
      <c r="K14" s="50"/>
      <c r="L14" s="50"/>
      <c r="M14" s="50"/>
      <c r="N14" s="50"/>
      <c r="O14" s="50"/>
      <c r="P14" s="50"/>
      <c r="Q14" s="118"/>
      <c r="R14" s="50"/>
    </row>
    <row r="15" spans="1:18" ht="18" customHeight="1">
      <c r="A15" s="235" t="s">
        <v>380</v>
      </c>
      <c r="B15" s="50"/>
      <c r="C15" s="50"/>
      <c r="D15" s="1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18"/>
      <c r="R15" s="50"/>
    </row>
    <row r="16" spans="1:18" ht="15" customHeight="1">
      <c r="A16" s="235" t="s">
        <v>377</v>
      </c>
      <c r="B16" s="50"/>
      <c r="C16" s="50"/>
      <c r="D16" s="17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118"/>
      <c r="R16" s="50"/>
    </row>
    <row r="17" spans="1:18" ht="12.75">
      <c r="A17" s="236" t="s">
        <v>157</v>
      </c>
      <c r="B17" s="50">
        <f>'C3'!I23</f>
        <v>201925000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118"/>
      <c r="R17" s="50">
        <f>SUM(B17:P17)</f>
        <v>201925000</v>
      </c>
    </row>
    <row r="18" spans="1:18" ht="15" customHeight="1">
      <c r="A18" s="235" t="s">
        <v>388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2.75">
      <c r="A19" s="236" t="s">
        <v>120</v>
      </c>
      <c r="B19" s="50"/>
      <c r="C19" s="50"/>
      <c r="D19" s="50">
        <f>'C10'!D8/B35</f>
        <v>8078400</v>
      </c>
      <c r="E19" s="50">
        <f>D19</f>
        <v>8078400</v>
      </c>
      <c r="F19" s="50">
        <f aca="true" t="shared" si="3" ref="F19:O19">E19</f>
        <v>8078400</v>
      </c>
      <c r="G19" s="50">
        <f t="shared" si="3"/>
        <v>8078400</v>
      </c>
      <c r="H19" s="50">
        <f t="shared" si="3"/>
        <v>8078400</v>
      </c>
      <c r="I19" s="50">
        <f t="shared" si="3"/>
        <v>8078400</v>
      </c>
      <c r="J19" s="50">
        <f t="shared" si="3"/>
        <v>8078400</v>
      </c>
      <c r="K19" s="50">
        <f t="shared" si="3"/>
        <v>8078400</v>
      </c>
      <c r="L19" s="50">
        <f t="shared" si="3"/>
        <v>8078400</v>
      </c>
      <c r="M19" s="50">
        <f t="shared" si="3"/>
        <v>8078400</v>
      </c>
      <c r="N19" s="50">
        <f t="shared" si="3"/>
        <v>8078400</v>
      </c>
      <c r="O19" s="50">
        <f t="shared" si="3"/>
        <v>8078400</v>
      </c>
      <c r="P19" s="50"/>
      <c r="Q19" s="118"/>
      <c r="R19" s="50">
        <f>SUM(B19:P19)</f>
        <v>96940800</v>
      </c>
    </row>
    <row r="20" spans="1:18" ht="12.75">
      <c r="A20" s="236" t="s">
        <v>362</v>
      </c>
      <c r="B20" s="50">
        <f>'C10'!D9/B35</f>
        <v>14062500</v>
      </c>
      <c r="C20" s="50">
        <f>B20</f>
        <v>14062500</v>
      </c>
      <c r="D20" s="50">
        <f aca="true" t="shared" si="4" ref="D20:M21">C20</f>
        <v>14062500</v>
      </c>
      <c r="E20" s="50">
        <f t="shared" si="4"/>
        <v>14062500</v>
      </c>
      <c r="F20" s="50">
        <f t="shared" si="4"/>
        <v>14062500</v>
      </c>
      <c r="G20" s="50">
        <f t="shared" si="4"/>
        <v>14062500</v>
      </c>
      <c r="H20" s="50">
        <f t="shared" si="4"/>
        <v>14062500</v>
      </c>
      <c r="I20" s="50">
        <f t="shared" si="4"/>
        <v>14062500</v>
      </c>
      <c r="J20" s="50">
        <f t="shared" si="4"/>
        <v>14062500</v>
      </c>
      <c r="K20" s="50">
        <f t="shared" si="4"/>
        <v>14062500</v>
      </c>
      <c r="L20" s="50">
        <f t="shared" si="4"/>
        <v>14062500</v>
      </c>
      <c r="M20" s="50">
        <f t="shared" si="4"/>
        <v>14062500</v>
      </c>
      <c r="N20" s="50"/>
      <c r="O20" s="50"/>
      <c r="P20" s="50"/>
      <c r="Q20" s="118"/>
      <c r="R20" s="50">
        <f>SUM(B20:P20)</f>
        <v>168750000</v>
      </c>
    </row>
    <row r="21" spans="1:18" ht="12.75">
      <c r="A21" s="236" t="s">
        <v>158</v>
      </c>
      <c r="B21" s="50"/>
      <c r="C21" s="50">
        <f>'C10'!D10/B35</f>
        <v>12704204.062893333</v>
      </c>
      <c r="D21" s="50">
        <f>C21</f>
        <v>12704204.062893333</v>
      </c>
      <c r="E21" s="50">
        <f t="shared" si="4"/>
        <v>12704204.062893333</v>
      </c>
      <c r="F21" s="50">
        <f t="shared" si="4"/>
        <v>12704204.062893333</v>
      </c>
      <c r="G21" s="50">
        <f t="shared" si="4"/>
        <v>12704204.062893333</v>
      </c>
      <c r="H21" s="50">
        <f t="shared" si="4"/>
        <v>12704204.062893333</v>
      </c>
      <c r="I21" s="50">
        <f t="shared" si="4"/>
        <v>12704204.062893333</v>
      </c>
      <c r="J21" s="50">
        <f t="shared" si="4"/>
        <v>12704204.062893333</v>
      </c>
      <c r="K21" s="50">
        <f t="shared" si="4"/>
        <v>12704204.062893333</v>
      </c>
      <c r="L21" s="50">
        <f t="shared" si="4"/>
        <v>12704204.062893333</v>
      </c>
      <c r="M21" s="50">
        <f t="shared" si="4"/>
        <v>12704204.062893333</v>
      </c>
      <c r="N21" s="50">
        <f>M21</f>
        <v>12704204.062893333</v>
      </c>
      <c r="O21" s="50"/>
      <c r="P21" s="50"/>
      <c r="Q21" s="118"/>
      <c r="R21" s="50">
        <f>SUM(B21:P21)</f>
        <v>152450448.75472</v>
      </c>
    </row>
    <row r="22" spans="1:18" ht="15" customHeight="1">
      <c r="A22" s="235" t="s">
        <v>381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118"/>
      <c r="R22" s="50"/>
    </row>
    <row r="23" spans="1:18" ht="12.75">
      <c r="A23" s="236" t="s">
        <v>159</v>
      </c>
      <c r="B23" s="50"/>
      <c r="C23" s="50"/>
      <c r="D23" s="50"/>
      <c r="E23" s="50"/>
      <c r="F23" s="50"/>
      <c r="G23" s="50">
        <f>'C5'!J15</f>
        <v>94137315.48310591</v>
      </c>
      <c r="H23" s="50"/>
      <c r="I23" s="50"/>
      <c r="J23" s="50"/>
      <c r="K23" s="50"/>
      <c r="L23" s="50"/>
      <c r="M23" s="50">
        <f>'C5'!J16</f>
        <v>94137315.48310591</v>
      </c>
      <c r="N23" s="50"/>
      <c r="O23" s="50"/>
      <c r="P23" s="50"/>
      <c r="Q23" s="118"/>
      <c r="R23" s="50">
        <f>SUM(B23:P23)</f>
        <v>188274630.96621183</v>
      </c>
    </row>
    <row r="24" spans="1:18" ht="15" customHeight="1">
      <c r="A24" s="235" t="s">
        <v>382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118"/>
      <c r="R24" s="50"/>
    </row>
    <row r="25" spans="1:18" ht="12.75">
      <c r="A25" s="236" t="s">
        <v>160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18"/>
      <c r="R25" s="50">
        <f>SUM(B25:P25)</f>
        <v>0</v>
      </c>
    </row>
    <row r="26" spans="1:18" ht="15" customHeight="1">
      <c r="A26" s="235" t="s">
        <v>378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236" t="s">
        <v>129</v>
      </c>
      <c r="B27" s="78">
        <f>-'C10'!D17/B35</f>
        <v>9072727.67837472</v>
      </c>
      <c r="C27" s="78">
        <f>B27</f>
        <v>9072727.67837472</v>
      </c>
      <c r="D27" s="78">
        <f aca="true" t="shared" si="5" ref="D27:M27">C27</f>
        <v>9072727.67837472</v>
      </c>
      <c r="E27" s="78">
        <f t="shared" si="5"/>
        <v>9072727.67837472</v>
      </c>
      <c r="F27" s="78">
        <f t="shared" si="5"/>
        <v>9072727.67837472</v>
      </c>
      <c r="G27" s="78">
        <f t="shared" si="5"/>
        <v>9072727.67837472</v>
      </c>
      <c r="H27" s="78">
        <f t="shared" si="5"/>
        <v>9072727.67837472</v>
      </c>
      <c r="I27" s="78">
        <f t="shared" si="5"/>
        <v>9072727.67837472</v>
      </c>
      <c r="J27" s="78">
        <f t="shared" si="5"/>
        <v>9072727.67837472</v>
      </c>
      <c r="K27" s="78">
        <f t="shared" si="5"/>
        <v>9072727.67837472</v>
      </c>
      <c r="L27" s="78">
        <f t="shared" si="5"/>
        <v>9072727.67837472</v>
      </c>
      <c r="M27" s="78">
        <f t="shared" si="5"/>
        <v>9072727.67837472</v>
      </c>
      <c r="N27" s="78"/>
      <c r="O27" s="78"/>
      <c r="P27" s="78"/>
      <c r="Q27" s="118"/>
      <c r="R27" s="50">
        <f>SUM(B27:P27)</f>
        <v>108872732.14049666</v>
      </c>
    </row>
    <row r="28" spans="1:18" ht="18" customHeight="1" thickBot="1">
      <c r="A28" s="235" t="s">
        <v>161</v>
      </c>
      <c r="B28" s="119">
        <f>SUM(B17:B27)</f>
        <v>225060227.6783747</v>
      </c>
      <c r="C28" s="119">
        <f aca="true" t="shared" si="6" ref="C28:P28">SUM(C17:C27)</f>
        <v>35839431.74126805</v>
      </c>
      <c r="D28" s="119">
        <f t="shared" si="6"/>
        <v>43917831.74126805</v>
      </c>
      <c r="E28" s="119">
        <f t="shared" si="6"/>
        <v>43917831.74126805</v>
      </c>
      <c r="F28" s="119">
        <f t="shared" si="6"/>
        <v>43917831.74126805</v>
      </c>
      <c r="G28" s="119">
        <f t="shared" si="6"/>
        <v>138055147.22437397</v>
      </c>
      <c r="H28" s="119">
        <f t="shared" si="6"/>
        <v>43917831.74126805</v>
      </c>
      <c r="I28" s="119">
        <f t="shared" si="6"/>
        <v>43917831.74126805</v>
      </c>
      <c r="J28" s="119">
        <f t="shared" si="6"/>
        <v>43917831.74126805</v>
      </c>
      <c r="K28" s="119">
        <f t="shared" si="6"/>
        <v>43917831.74126805</v>
      </c>
      <c r="L28" s="119">
        <f t="shared" si="6"/>
        <v>43917831.74126805</v>
      </c>
      <c r="M28" s="119">
        <f t="shared" si="6"/>
        <v>138055147.22437397</v>
      </c>
      <c r="N28" s="119">
        <f t="shared" si="6"/>
        <v>20782604.06289333</v>
      </c>
      <c r="O28" s="119">
        <f t="shared" si="6"/>
        <v>8078400</v>
      </c>
      <c r="P28" s="119">
        <f t="shared" si="6"/>
        <v>0</v>
      </c>
      <c r="Q28" s="122"/>
      <c r="R28" s="205">
        <f>SUM(B28:P28)</f>
        <v>917213611.8614283</v>
      </c>
    </row>
    <row r="29" spans="1:18" ht="18" customHeight="1" thickBot="1" thickTop="1">
      <c r="A29" s="235" t="s">
        <v>162</v>
      </c>
      <c r="B29" s="121">
        <f>B13-B28</f>
        <v>-23135227.678374708</v>
      </c>
      <c r="C29" s="121">
        <f aca="true" t="shared" si="7" ref="C29:R29">C13-C28</f>
        <v>-35839431.74126805</v>
      </c>
      <c r="D29" s="121">
        <f t="shared" si="7"/>
        <v>-43917831.74126805</v>
      </c>
      <c r="E29" s="121">
        <f t="shared" si="7"/>
        <v>51564104.25873195</v>
      </c>
      <c r="F29" s="121">
        <f t="shared" si="7"/>
        <v>51564104.25873195</v>
      </c>
      <c r="G29" s="121">
        <f t="shared" si="7"/>
        <v>-42573211.22437397</v>
      </c>
      <c r="H29" s="121">
        <f t="shared" si="7"/>
        <v>51564104.25873195</v>
      </c>
      <c r="I29" s="121">
        <f t="shared" si="7"/>
        <v>51564104.25873195</v>
      </c>
      <c r="J29" s="121">
        <f t="shared" si="7"/>
        <v>51564104.25873195</v>
      </c>
      <c r="K29" s="121">
        <f t="shared" si="7"/>
        <v>51564104.25873195</v>
      </c>
      <c r="L29" s="121">
        <f t="shared" si="7"/>
        <v>51564104.25873195</v>
      </c>
      <c r="M29" s="121">
        <f t="shared" si="7"/>
        <v>-42573211.22437397</v>
      </c>
      <c r="N29" s="121">
        <f t="shared" si="7"/>
        <v>74699331.93710667</v>
      </c>
      <c r="O29" s="121">
        <f t="shared" si="7"/>
        <v>87403536</v>
      </c>
      <c r="P29" s="121">
        <f t="shared" si="7"/>
        <v>95481936</v>
      </c>
      <c r="Q29" s="121">
        <f t="shared" si="7"/>
        <v>0</v>
      </c>
      <c r="R29" s="121">
        <f t="shared" si="7"/>
        <v>430494620.13857174</v>
      </c>
    </row>
    <row r="30" spans="1:18" ht="18" customHeight="1" thickBot="1" thickTop="1">
      <c r="A30" s="52" t="s">
        <v>386</v>
      </c>
      <c r="B30" s="121">
        <f>B29</f>
        <v>-23135227.678374708</v>
      </c>
      <c r="C30" s="121">
        <f>B30+C29</f>
        <v>-58974659.41964276</v>
      </c>
      <c r="D30" s="430">
        <f aca="true" t="shared" si="8" ref="D30:P30">C30+D29</f>
        <v>-102892491.16091082</v>
      </c>
      <c r="E30" s="121">
        <f t="shared" si="8"/>
        <v>-51328386.90217887</v>
      </c>
      <c r="F30" s="121">
        <f t="shared" si="8"/>
        <v>235717.3565530777</v>
      </c>
      <c r="G30" s="121">
        <f t="shared" si="8"/>
        <v>-42337493.86782089</v>
      </c>
      <c r="H30" s="121">
        <f t="shared" si="8"/>
        <v>9226610.390911058</v>
      </c>
      <c r="I30" s="121">
        <f t="shared" si="8"/>
        <v>60790714.649643004</v>
      </c>
      <c r="J30" s="121">
        <f t="shared" si="8"/>
        <v>112354818.90837495</v>
      </c>
      <c r="K30" s="121">
        <f t="shared" si="8"/>
        <v>163918923.1671069</v>
      </c>
      <c r="L30" s="121">
        <f t="shared" si="8"/>
        <v>215483027.42583883</v>
      </c>
      <c r="M30" s="121">
        <f t="shared" si="8"/>
        <v>172909816.20146486</v>
      </c>
      <c r="N30" s="121">
        <f t="shared" si="8"/>
        <v>247609148.13857153</v>
      </c>
      <c r="O30" s="121">
        <f t="shared" si="8"/>
        <v>335012684.1385715</v>
      </c>
      <c r="P30" s="121">
        <f t="shared" si="8"/>
        <v>430494620.1385715</v>
      </c>
      <c r="Q30" s="122"/>
      <c r="R30" s="122"/>
    </row>
    <row r="31" spans="1:17" ht="18" customHeight="1" thickTop="1">
      <c r="A31" s="52"/>
      <c r="B31" s="69"/>
      <c r="C31" s="69"/>
      <c r="D31" s="69"/>
      <c r="E31" s="69"/>
      <c r="F31" s="69"/>
      <c r="G31" s="69"/>
      <c r="H31" s="69"/>
      <c r="I31" s="69"/>
      <c r="Q31" s="62"/>
    </row>
    <row r="32" spans="1:4" ht="18" customHeight="1">
      <c r="A32" s="52" t="s">
        <v>164</v>
      </c>
      <c r="B32" s="431">
        <f>-MIN(B30:P30)</f>
        <v>102892491.16091082</v>
      </c>
      <c r="C32" s="69"/>
      <c r="D32" s="69"/>
    </row>
    <row r="34" spans="1:3" ht="15.75">
      <c r="A34" s="412" t="s">
        <v>447</v>
      </c>
      <c r="B34" s="354"/>
      <c r="C34" s="354"/>
    </row>
    <row r="35" spans="1:3" ht="12.75">
      <c r="A35" s="354" t="s">
        <v>468</v>
      </c>
      <c r="B35" s="354">
        <v>12</v>
      </c>
      <c r="C35" s="354" t="s">
        <v>454</v>
      </c>
    </row>
    <row r="36" spans="1:3" ht="12.75">
      <c r="A36" s="354" t="s">
        <v>599</v>
      </c>
      <c r="B36" s="354"/>
      <c r="C36" s="354"/>
    </row>
    <row r="37" spans="1:3" ht="12.75">
      <c r="A37" s="354" t="s">
        <v>600</v>
      </c>
      <c r="B37" s="354"/>
      <c r="C37" s="354"/>
    </row>
    <row r="38" spans="1:3" ht="12.75">
      <c r="A38" s="354" t="s">
        <v>601</v>
      </c>
      <c r="B38" s="354"/>
      <c r="C38" s="354"/>
    </row>
    <row r="39" spans="1:3" ht="12.75">
      <c r="A39" s="354" t="s">
        <v>602</v>
      </c>
      <c r="B39" s="354"/>
      <c r="C39" s="354"/>
    </row>
    <row r="40" spans="1:3" ht="12.75">
      <c r="A40" s="354" t="s">
        <v>603</v>
      </c>
      <c r="B40" s="354" t="s">
        <v>604</v>
      </c>
      <c r="C40" s="354"/>
    </row>
    <row r="41" spans="1:3" ht="12.75">
      <c r="A41" s="354" t="s">
        <v>591</v>
      </c>
      <c r="B41" s="354"/>
      <c r="C41" s="354"/>
    </row>
    <row r="42" spans="1:3" ht="12.75">
      <c r="A42" s="354" t="s">
        <v>592</v>
      </c>
      <c r="B42" s="354"/>
      <c r="C42" s="354"/>
    </row>
    <row r="43" spans="1:3" ht="12.75">
      <c r="A43" s="354" t="s">
        <v>593</v>
      </c>
      <c r="B43" s="354"/>
      <c r="C43" s="354"/>
    </row>
    <row r="44" spans="1:3" ht="12.75">
      <c r="A44" s="354" t="s">
        <v>594</v>
      </c>
      <c r="B44" s="354"/>
      <c r="C44" s="354"/>
    </row>
    <row r="45" spans="1:3" ht="12.75">
      <c r="A45" s="354" t="s">
        <v>595</v>
      </c>
      <c r="B45" s="354"/>
      <c r="C45" s="354"/>
    </row>
  </sheetData>
  <printOptions horizontalCentered="1" verticalCentered="1"/>
  <pageMargins left="0.75" right="0.75" top="1" bottom="1" header="0" footer="0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236" customWidth="1"/>
    <col min="2" max="2" width="13.8515625" style="236" customWidth="1"/>
    <col min="3" max="4" width="15.7109375" style="236" customWidth="1"/>
    <col min="5" max="5" width="15.8515625" style="236" customWidth="1"/>
    <col min="6" max="7" width="16.28125" style="236" customWidth="1"/>
    <col min="8" max="16384" width="11.421875" style="236" customWidth="1"/>
  </cols>
  <sheetData>
    <row r="1" s="423" customFormat="1" ht="24" customHeight="1">
      <c r="A1" s="422" t="s">
        <v>163</v>
      </c>
    </row>
    <row r="2" spans="1:7" s="423" customFormat="1" ht="24" customHeight="1">
      <c r="A2" s="424" t="s">
        <v>443</v>
      </c>
      <c r="B2" s="425"/>
      <c r="C2" s="425"/>
      <c r="D2" s="425"/>
      <c r="E2" s="425"/>
      <c r="F2" s="425"/>
      <c r="G2" s="425"/>
    </row>
    <row r="3" ht="12.75">
      <c r="A3" s="315"/>
    </row>
    <row r="4" spans="2:7" ht="28.5" customHeight="1">
      <c r="B4" s="316" t="s">
        <v>117</v>
      </c>
      <c r="C4" s="316" t="s">
        <v>151</v>
      </c>
      <c r="D4" s="316" t="s">
        <v>152</v>
      </c>
      <c r="E4" s="316" t="s">
        <v>98</v>
      </c>
      <c r="F4" s="316" t="s">
        <v>99</v>
      </c>
      <c r="G4" s="316" t="s">
        <v>204</v>
      </c>
    </row>
    <row r="5" spans="1:7" ht="18" customHeight="1" thickBot="1">
      <c r="A5" s="235" t="s">
        <v>349</v>
      </c>
      <c r="B5" s="435">
        <f>+'C1'!D19</f>
        <v>0</v>
      </c>
      <c r="C5" s="435">
        <f>+'C1'!E19</f>
        <v>202435.2</v>
      </c>
      <c r="D5" s="435">
        <f>+'C1'!F19</f>
        <v>236174.40000000002</v>
      </c>
      <c r="E5" s="435">
        <f>+'C1'!G19</f>
        <v>269913.6</v>
      </c>
      <c r="F5" s="435">
        <f>+'C1'!H19</f>
        <v>303652.8</v>
      </c>
      <c r="G5" s="435">
        <f>+'C1'!I15</f>
        <v>337392</v>
      </c>
    </row>
    <row r="6" spans="1:7" ht="18" customHeight="1" thickTop="1">
      <c r="A6" s="235" t="s">
        <v>379</v>
      </c>
      <c r="B6" s="436"/>
      <c r="C6" s="436"/>
      <c r="D6" s="436"/>
      <c r="E6" s="436"/>
      <c r="F6" s="436"/>
      <c r="G6" s="436"/>
    </row>
    <row r="7" spans="1:7" ht="14.25" customHeight="1">
      <c r="A7" s="235" t="s">
        <v>375</v>
      </c>
      <c r="B7" s="436"/>
      <c r="C7" s="436"/>
      <c r="D7" s="436"/>
      <c r="E7" s="436"/>
      <c r="F7" s="436"/>
      <c r="G7" s="436"/>
    </row>
    <row r="8" spans="1:7" ht="12.75">
      <c r="A8" s="236" t="s">
        <v>153</v>
      </c>
      <c r="B8" s="436">
        <f>+'C3'!C23</f>
        <v>402187427.47476715</v>
      </c>
      <c r="C8" s="436">
        <f>+'C3'!G23</f>
        <v>39925000</v>
      </c>
      <c r="D8" s="436"/>
      <c r="E8" s="436"/>
      <c r="F8" s="436"/>
      <c r="G8" s="436"/>
    </row>
    <row r="9" spans="1:7" ht="12.75">
      <c r="A9" s="236" t="s">
        <v>154</v>
      </c>
      <c r="B9" s="436">
        <f>+'C3'!D23</f>
        <v>566848401.912</v>
      </c>
      <c r="C9" s="436">
        <f>+'C3'!H23</f>
        <v>162000000</v>
      </c>
      <c r="D9" s="436"/>
      <c r="E9" s="436"/>
      <c r="F9" s="436"/>
      <c r="G9" s="436"/>
    </row>
    <row r="10" spans="1:3" ht="12.75">
      <c r="A10" s="236" t="s">
        <v>155</v>
      </c>
      <c r="B10" s="434"/>
      <c r="C10" s="434">
        <f>+'C13'!B32</f>
        <v>102892491.16091082</v>
      </c>
    </row>
    <row r="11" spans="1:7" ht="14.25" customHeight="1">
      <c r="A11" s="235" t="s">
        <v>376</v>
      </c>
      <c r="B11" s="436"/>
      <c r="C11" s="436"/>
      <c r="D11" s="436"/>
      <c r="E11" s="436"/>
      <c r="F11" s="436"/>
      <c r="G11" s="436"/>
    </row>
    <row r="12" spans="1:7" ht="12.75">
      <c r="A12" s="236" t="s">
        <v>149</v>
      </c>
      <c r="B12" s="436"/>
      <c r="C12" s="436">
        <f>+'C10'!D7</f>
        <v>1145783232</v>
      </c>
      <c r="D12" s="436">
        <f>+'C10'!E7</f>
        <v>1336747104</v>
      </c>
      <c r="E12" s="436">
        <f>+'C10'!F7</f>
        <v>1527710976</v>
      </c>
      <c r="F12" s="436">
        <f>+'C10'!G7</f>
        <v>1718674848</v>
      </c>
      <c r="G12" s="436">
        <f>+'C10'!H7</f>
        <v>1909638720</v>
      </c>
    </row>
    <row r="13" spans="1:7" ht="18" customHeight="1" thickBot="1">
      <c r="A13" s="235" t="s">
        <v>156</v>
      </c>
      <c r="B13" s="437">
        <f aca="true" t="shared" si="0" ref="B13:G13">SUM(B6:B12)</f>
        <v>969035829.3867671</v>
      </c>
      <c r="C13" s="437">
        <f t="shared" si="0"/>
        <v>1450600723.1609108</v>
      </c>
      <c r="D13" s="437">
        <f t="shared" si="0"/>
        <v>1336747104</v>
      </c>
      <c r="E13" s="437">
        <f t="shared" si="0"/>
        <v>1527710976</v>
      </c>
      <c r="F13" s="437">
        <f t="shared" si="0"/>
        <v>1718674848</v>
      </c>
      <c r="G13" s="437">
        <f t="shared" si="0"/>
        <v>1909638720</v>
      </c>
    </row>
    <row r="14" spans="2:7" ht="13.5" thickTop="1">
      <c r="B14" s="438"/>
      <c r="C14" s="438"/>
      <c r="D14" s="438"/>
      <c r="E14" s="438"/>
      <c r="F14" s="438"/>
      <c r="G14" s="438"/>
    </row>
    <row r="15" spans="1:7" ht="12.75">
      <c r="A15" s="315" t="s">
        <v>380</v>
      </c>
      <c r="B15" s="436"/>
      <c r="C15" s="436"/>
      <c r="D15" s="436"/>
      <c r="E15" s="436"/>
      <c r="F15" s="436"/>
      <c r="G15" s="436"/>
    </row>
    <row r="16" spans="1:7" ht="15" customHeight="1">
      <c r="A16" s="235" t="s">
        <v>377</v>
      </c>
      <c r="B16" s="436"/>
      <c r="C16" s="436"/>
      <c r="D16" s="436"/>
      <c r="E16" s="436"/>
      <c r="F16" s="436"/>
      <c r="G16" s="436"/>
    </row>
    <row r="17" spans="1:7" ht="12.75">
      <c r="A17" s="236" t="s">
        <v>157</v>
      </c>
      <c r="B17" s="436">
        <f>+'C3'!E25</f>
        <v>969035829.3867671</v>
      </c>
      <c r="C17" s="436">
        <f>+'C3'!I23</f>
        <v>201925000</v>
      </c>
      <c r="D17" s="436"/>
      <c r="E17" s="436"/>
      <c r="F17" s="436"/>
      <c r="G17" s="436"/>
    </row>
    <row r="18" spans="1:7" ht="15" customHeight="1">
      <c r="A18" s="235" t="s">
        <v>388</v>
      </c>
      <c r="B18" s="436"/>
      <c r="C18" s="436"/>
      <c r="D18" s="436"/>
      <c r="E18" s="436"/>
      <c r="F18" s="436"/>
      <c r="G18" s="436"/>
    </row>
    <row r="19" spans="1:7" ht="12.75">
      <c r="A19" s="236" t="s">
        <v>120</v>
      </c>
      <c r="B19" s="436"/>
      <c r="C19" s="436">
        <f>+'C10'!D8</f>
        <v>96940800</v>
      </c>
      <c r="D19" s="436">
        <f>+'C10'!E8</f>
        <v>120665160</v>
      </c>
      <c r="E19" s="436">
        <f>+'C10'!F8</f>
        <v>147148055.99999997</v>
      </c>
      <c r="F19" s="436">
        <f>+'C10'!G8</f>
        <v>176660507.92499995</v>
      </c>
      <c r="G19" s="436">
        <f>+'C10'!H8</f>
        <v>209498377.89374995</v>
      </c>
    </row>
    <row r="20" spans="1:7" ht="12.75">
      <c r="A20" s="236" t="s">
        <v>362</v>
      </c>
      <c r="B20" s="436"/>
      <c r="C20" s="436">
        <f>+'C10'!D9</f>
        <v>168750000</v>
      </c>
      <c r="D20" s="436">
        <f>+'C10'!E9</f>
        <v>193875000</v>
      </c>
      <c r="E20" s="436">
        <f>+'C10'!F9</f>
        <v>258637500.00000003</v>
      </c>
      <c r="F20" s="436">
        <f>+'C10'!G9</f>
        <v>294483750.0000001</v>
      </c>
      <c r="G20" s="436">
        <f>+'C10'!H9</f>
        <v>334912875.0000001</v>
      </c>
    </row>
    <row r="21" spans="1:7" ht="12.75">
      <c r="A21" s="236" t="s">
        <v>158</v>
      </c>
      <c r="B21" s="436"/>
      <c r="C21" s="436">
        <f>+'C10'!D10</f>
        <v>152450448.75472</v>
      </c>
      <c r="D21" s="436">
        <f>+'C10'!E10</f>
        <v>171324269.40045598</v>
      </c>
      <c r="E21" s="436">
        <f>+'C10'!F10</f>
        <v>192547660.8064788</v>
      </c>
      <c r="F21" s="436">
        <f>+'C10'!G10</f>
        <v>210955087.71080276</v>
      </c>
      <c r="G21" s="436">
        <f>+'C10'!H10</f>
        <v>230040025.3883429</v>
      </c>
    </row>
    <row r="22" spans="1:7" ht="14.25" customHeight="1">
      <c r="A22" s="235" t="s">
        <v>381</v>
      </c>
      <c r="B22" s="436"/>
      <c r="C22" s="436"/>
      <c r="D22" s="436"/>
      <c r="E22" s="436"/>
      <c r="F22" s="436"/>
      <c r="G22" s="436"/>
    </row>
    <row r="23" spans="1:7" ht="12.75">
      <c r="A23" s="236" t="s">
        <v>159</v>
      </c>
      <c r="B23" s="436"/>
      <c r="C23" s="436">
        <f>+'C10'!D15</f>
        <v>188274630.96621183</v>
      </c>
      <c r="D23" s="436">
        <f>+'C10'!E15</f>
        <v>180872792.22591254</v>
      </c>
      <c r="E23" s="436">
        <f>+'C10'!F15</f>
        <v>147317903.74135184</v>
      </c>
      <c r="F23" s="436">
        <f>+'C10'!G15</f>
        <v>104535420.92353693</v>
      </c>
      <c r="G23" s="436">
        <f>+'C10'!H15</f>
        <v>49987755.33082294</v>
      </c>
    </row>
    <row r="24" spans="1:7" ht="15" customHeight="1">
      <c r="A24" s="235" t="s">
        <v>382</v>
      </c>
      <c r="B24" s="436"/>
      <c r="C24" s="436"/>
      <c r="D24" s="436"/>
      <c r="E24" s="436"/>
      <c r="F24" s="436"/>
      <c r="G24" s="436"/>
    </row>
    <row r="25" spans="1:7" ht="12.75">
      <c r="A25" s="236" t="s">
        <v>160</v>
      </c>
      <c r="B25" s="436"/>
      <c r="C25" s="436"/>
      <c r="D25" s="436">
        <f>+'C5'!I30</f>
        <v>122017776.3074936</v>
      </c>
      <c r="E25" s="436">
        <f>+'C5'!I31</f>
        <v>155572664.7920543</v>
      </c>
      <c r="F25" s="436">
        <f>+'C5'!I32</f>
        <v>198355147.6098692</v>
      </c>
      <c r="G25" s="436">
        <f>+'C5'!I33</f>
        <v>252902813.2025832</v>
      </c>
    </row>
    <row r="26" spans="1:7" ht="15" customHeight="1">
      <c r="A26" s="235" t="s">
        <v>378</v>
      </c>
      <c r="B26" s="436"/>
      <c r="C26" s="436"/>
      <c r="D26" s="436"/>
      <c r="E26" s="436"/>
      <c r="F26" s="436"/>
      <c r="G26" s="436"/>
    </row>
    <row r="27" spans="1:7" ht="12.75">
      <c r="A27" s="236" t="s">
        <v>129</v>
      </c>
      <c r="B27" s="439"/>
      <c r="C27" s="439">
        <f>-'C10'!D17</f>
        <v>108872732.14049664</v>
      </c>
      <c r="D27" s="439">
        <f>-'C10'!E17</f>
        <v>153291192.37264818</v>
      </c>
      <c r="E27" s="439">
        <f>-'C10'!F17</f>
        <v>191388183.21935108</v>
      </c>
      <c r="F27" s="439">
        <f>-'C10'!G17</f>
        <v>250029746.23852247</v>
      </c>
      <c r="G27" s="439">
        <f>-'C10'!H17</f>
        <v>302104011.9203066</v>
      </c>
    </row>
    <row r="28" spans="1:7" ht="18" customHeight="1" thickBot="1">
      <c r="A28" s="235" t="s">
        <v>161</v>
      </c>
      <c r="B28" s="440">
        <f aca="true" t="shared" si="1" ref="B28:G28">SUM(B17:B27)</f>
        <v>969035829.3867671</v>
      </c>
      <c r="C28" s="440">
        <f t="shared" si="1"/>
        <v>917213611.8614284</v>
      </c>
      <c r="D28" s="440">
        <f t="shared" si="1"/>
        <v>942046190.3065102</v>
      </c>
      <c r="E28" s="440">
        <f t="shared" si="1"/>
        <v>1092611968.559236</v>
      </c>
      <c r="F28" s="440">
        <f t="shared" si="1"/>
        <v>1235019660.4077315</v>
      </c>
      <c r="G28" s="440">
        <f t="shared" si="1"/>
        <v>1379445858.7358057</v>
      </c>
    </row>
    <row r="29" spans="1:7" ht="18" customHeight="1" thickBot="1" thickTop="1">
      <c r="A29" s="235" t="s">
        <v>162</v>
      </c>
      <c r="B29" s="441">
        <f aca="true" t="shared" si="2" ref="B29:G29">+B13-B28</f>
        <v>0</v>
      </c>
      <c r="C29" s="441">
        <f t="shared" si="2"/>
        <v>533387111.29948246</v>
      </c>
      <c r="D29" s="441">
        <f t="shared" si="2"/>
        <v>394700913.6934898</v>
      </c>
      <c r="E29" s="441">
        <f t="shared" si="2"/>
        <v>435099007.44076395</v>
      </c>
      <c r="F29" s="441">
        <f t="shared" si="2"/>
        <v>483655187.59226847</v>
      </c>
      <c r="G29" s="441">
        <f t="shared" si="2"/>
        <v>530192861.26419425</v>
      </c>
    </row>
    <row r="30" ht="13.5" thickTop="1"/>
  </sheetData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40" customWidth="1"/>
    <col min="2" max="2" width="30.140625" style="40" customWidth="1"/>
    <col min="3" max="3" width="15.00390625" style="40" customWidth="1"/>
    <col min="4" max="4" width="11.7109375" style="40" customWidth="1"/>
    <col min="5" max="5" width="11.7109375" style="40" bestFit="1" customWidth="1"/>
    <col min="6" max="6" width="11.7109375" style="40" customWidth="1"/>
    <col min="7" max="7" width="11.7109375" style="40" bestFit="1" customWidth="1"/>
    <col min="8" max="8" width="11.7109375" style="40" customWidth="1"/>
    <col min="9" max="16384" width="11.421875" style="40" customWidth="1"/>
  </cols>
  <sheetData>
    <row r="1" spans="1:2" s="377" customFormat="1" ht="24" customHeight="1">
      <c r="A1" s="352" t="s">
        <v>165</v>
      </c>
      <c r="B1" s="376"/>
    </row>
    <row r="2" spans="2:8" s="377" customFormat="1" ht="24" customHeight="1">
      <c r="B2" s="378" t="s">
        <v>360</v>
      </c>
      <c r="C2" s="382"/>
      <c r="D2" s="382"/>
      <c r="E2" s="382"/>
      <c r="F2" s="382"/>
      <c r="G2" s="382"/>
      <c r="H2" s="382"/>
    </row>
    <row r="3" ht="12.75" customHeight="1">
      <c r="B3" s="52"/>
    </row>
    <row r="4" spans="2:8" ht="37.5" customHeight="1">
      <c r="B4" s="59"/>
      <c r="C4" s="46" t="s">
        <v>117</v>
      </c>
      <c r="D4" s="46" t="s">
        <v>4</v>
      </c>
      <c r="E4" s="46" t="s">
        <v>166</v>
      </c>
      <c r="F4" s="46" t="s">
        <v>125</v>
      </c>
      <c r="G4" s="46" t="s">
        <v>341</v>
      </c>
      <c r="H4" s="46" t="s">
        <v>203</v>
      </c>
    </row>
    <row r="5" spans="2:8" ht="18" customHeight="1" thickBot="1">
      <c r="B5" s="69" t="s">
        <v>349</v>
      </c>
      <c r="C5" s="226">
        <f>+'C10'!C6</f>
        <v>0</v>
      </c>
      <c r="D5" s="226">
        <f>+'C10'!D6</f>
        <v>202435.2</v>
      </c>
      <c r="E5" s="226">
        <f>+'C10'!E6</f>
        <v>236174.40000000002</v>
      </c>
      <c r="F5" s="226">
        <f>+'C10'!F6</f>
        <v>269913.6</v>
      </c>
      <c r="G5" s="226">
        <f>+'C10'!G6</f>
        <v>303652.8</v>
      </c>
      <c r="H5" s="226">
        <f>+'C10'!H6</f>
        <v>337392</v>
      </c>
    </row>
    <row r="6" spans="3:8" ht="12" customHeight="1" thickTop="1">
      <c r="C6" s="50"/>
      <c r="D6" s="443"/>
      <c r="E6" s="443"/>
      <c r="F6" s="443"/>
      <c r="G6" s="443"/>
      <c r="H6" s="443"/>
    </row>
    <row r="7" spans="2:8" ht="18" customHeight="1" thickBot="1">
      <c r="B7" s="140" t="s">
        <v>409</v>
      </c>
      <c r="C7" s="132">
        <f>+'C5'!E38</f>
        <v>0.275</v>
      </c>
      <c r="D7" s="226"/>
      <c r="E7" s="226"/>
      <c r="F7" s="226"/>
      <c r="G7" s="226"/>
      <c r="H7" s="226"/>
    </row>
    <row r="8" spans="2:8" ht="12.75" customHeight="1" thickTop="1">
      <c r="B8" s="69"/>
      <c r="C8" s="444"/>
      <c r="D8" s="443"/>
      <c r="E8" s="443"/>
      <c r="F8" s="443"/>
      <c r="G8" s="443"/>
      <c r="H8" s="443"/>
    </row>
    <row r="9" spans="2:8" ht="18" customHeight="1">
      <c r="B9" s="52" t="s">
        <v>336</v>
      </c>
      <c r="C9" s="50"/>
      <c r="D9" s="50"/>
      <c r="E9" s="50"/>
      <c r="F9" s="50"/>
      <c r="G9" s="50"/>
      <c r="H9" s="50"/>
    </row>
    <row r="10" spans="2:8" ht="18" customHeight="1">
      <c r="B10" s="52" t="s">
        <v>167</v>
      </c>
      <c r="C10" s="135"/>
      <c r="D10" s="50"/>
      <c r="E10" s="50"/>
      <c r="F10" s="50"/>
      <c r="G10" s="50"/>
      <c r="H10" s="50"/>
    </row>
    <row r="11" spans="1:8" ht="12.75">
      <c r="A11" s="49" t="s">
        <v>37</v>
      </c>
      <c r="B11" s="40" t="s">
        <v>337</v>
      </c>
      <c r="C11" s="50">
        <f>-'C3'!C25</f>
        <v>-402187427.47476715</v>
      </c>
      <c r="D11" s="50">
        <f>-'C3'!G25</f>
        <v>-142817491.16091082</v>
      </c>
      <c r="E11" s="50"/>
      <c r="F11" s="50"/>
      <c r="G11" s="50"/>
      <c r="H11" s="50"/>
    </row>
    <row r="12" spans="1:8" ht="12.75">
      <c r="A12" s="49" t="s">
        <v>43</v>
      </c>
      <c r="B12" s="59" t="s">
        <v>335</v>
      </c>
      <c r="C12" s="78">
        <f>+'C14'!B29</f>
        <v>0</v>
      </c>
      <c r="D12" s="78">
        <f>+'C14'!C29</f>
        <v>533387111.29948246</v>
      </c>
      <c r="E12" s="78">
        <f>+'C14'!D29</f>
        <v>394700913.6934898</v>
      </c>
      <c r="F12" s="78">
        <f>+'C14'!E29</f>
        <v>435099007.44076395</v>
      </c>
      <c r="G12" s="78">
        <f>+'C14'!F29</f>
        <v>483655187.59226847</v>
      </c>
      <c r="H12" s="78">
        <f>+'C14'!G29</f>
        <v>530192861.26419425</v>
      </c>
    </row>
    <row r="13" spans="1:8" ht="12.75">
      <c r="A13" s="49"/>
      <c r="C13" s="50"/>
      <c r="D13" s="50"/>
      <c r="E13" s="50"/>
      <c r="F13" s="50"/>
      <c r="G13" s="50"/>
      <c r="H13" s="50"/>
    </row>
    <row r="14" spans="1:8" ht="18" customHeight="1">
      <c r="A14" s="49"/>
      <c r="B14" s="52" t="s">
        <v>334</v>
      </c>
      <c r="C14" s="50"/>
      <c r="D14" s="50"/>
      <c r="E14" s="50"/>
      <c r="F14" s="50"/>
      <c r="G14" s="50"/>
      <c r="H14" s="50"/>
    </row>
    <row r="15" spans="1:8" ht="13.5" thickBot="1">
      <c r="A15" s="49" t="s">
        <v>45</v>
      </c>
      <c r="B15" s="40" t="s">
        <v>338</v>
      </c>
      <c r="C15" s="445">
        <f aca="true" t="shared" si="0" ref="C15:H15">+C11+C12</f>
        <v>-402187427.47476715</v>
      </c>
      <c r="D15" s="445">
        <f t="shared" si="0"/>
        <v>390569620.1385716</v>
      </c>
      <c r="E15" s="445">
        <f t="shared" si="0"/>
        <v>394700913.6934898</v>
      </c>
      <c r="F15" s="445">
        <f t="shared" si="0"/>
        <v>435099007.44076395</v>
      </c>
      <c r="G15" s="445">
        <f t="shared" si="0"/>
        <v>483655187.59226847</v>
      </c>
      <c r="H15" s="445">
        <f t="shared" si="0"/>
        <v>530192861.26419425</v>
      </c>
    </row>
    <row r="16" spans="3:8" ht="13.5" thickTop="1">
      <c r="C16" s="50"/>
      <c r="D16" s="50"/>
      <c r="E16" s="50"/>
      <c r="F16" s="50"/>
      <c r="G16" s="50"/>
      <c r="H16" s="50"/>
    </row>
    <row r="17" spans="2:8" ht="18" customHeight="1">
      <c r="B17" s="318" t="s">
        <v>340</v>
      </c>
      <c r="C17" s="50"/>
      <c r="D17" s="50"/>
      <c r="E17" s="50"/>
      <c r="F17" s="50"/>
      <c r="G17" s="50"/>
      <c r="H17" s="50"/>
    </row>
    <row r="18" spans="2:8" ht="18.75" customHeight="1">
      <c r="B18" s="52" t="s">
        <v>174</v>
      </c>
      <c r="C18" s="122">
        <f>+NPV(C7,C15:H15)</f>
        <v>546852856.4665415</v>
      </c>
      <c r="D18" s="122"/>
      <c r="E18" s="122"/>
      <c r="F18" s="122"/>
      <c r="G18" s="122"/>
      <c r="H18" s="50"/>
    </row>
    <row r="19" spans="2:8" ht="18" customHeight="1">
      <c r="B19" s="52" t="s">
        <v>173</v>
      </c>
      <c r="C19" s="446">
        <f>+IRR(C15:H15)</f>
        <v>0.9817592317864863</v>
      </c>
      <c r="D19" s="446"/>
      <c r="E19" s="446"/>
      <c r="F19" s="446"/>
      <c r="G19" s="446"/>
      <c r="H19" s="50"/>
    </row>
    <row r="20" spans="2:8" ht="12.75" customHeight="1" thickBot="1">
      <c r="B20" s="140"/>
      <c r="C20" s="447"/>
      <c r="D20" s="447"/>
      <c r="E20" s="447"/>
      <c r="F20" s="447"/>
      <c r="G20" s="447"/>
      <c r="H20" s="447"/>
    </row>
    <row r="21" spans="3:8" ht="12" customHeight="1" thickTop="1">
      <c r="C21" s="50"/>
      <c r="D21" s="50"/>
      <c r="E21" s="50"/>
      <c r="F21" s="50"/>
      <c r="G21" s="50"/>
      <c r="H21" s="50"/>
    </row>
    <row r="22" spans="2:8" ht="18" customHeight="1">
      <c r="B22" s="52" t="s">
        <v>333</v>
      </c>
      <c r="C22" s="50"/>
      <c r="D22" s="50"/>
      <c r="E22" s="50"/>
      <c r="F22" s="50"/>
      <c r="G22" s="50"/>
      <c r="H22" s="50"/>
    </row>
    <row r="23" spans="2:8" ht="18" customHeight="1">
      <c r="B23" s="52" t="s">
        <v>167</v>
      </c>
      <c r="C23" s="50"/>
      <c r="D23" s="50"/>
      <c r="E23" s="50"/>
      <c r="F23" s="50"/>
      <c r="G23" s="50"/>
      <c r="H23" s="50"/>
    </row>
    <row r="24" spans="1:8" ht="12.75">
      <c r="A24" s="49" t="s">
        <v>37</v>
      </c>
      <c r="B24" s="40" t="s">
        <v>168</v>
      </c>
      <c r="C24" s="50">
        <f>-'C3'!E25</f>
        <v>-969035829.3867671</v>
      </c>
      <c r="D24" s="50">
        <f>-'C3'!I25</f>
        <v>-304817491.16091084</v>
      </c>
      <c r="E24" s="50"/>
      <c r="F24" s="50"/>
      <c r="G24" s="50"/>
      <c r="H24" s="50"/>
    </row>
    <row r="25" spans="1:8" ht="12.75">
      <c r="A25" s="49" t="s">
        <v>43</v>
      </c>
      <c r="B25" s="40" t="s">
        <v>335</v>
      </c>
      <c r="C25" s="78">
        <f>+'C14'!B29</f>
        <v>0</v>
      </c>
      <c r="D25" s="78">
        <f>+'C14'!C29</f>
        <v>533387111.29948246</v>
      </c>
      <c r="E25" s="78">
        <f>+'C14'!D29</f>
        <v>394700913.6934898</v>
      </c>
      <c r="F25" s="78">
        <f>+'C14'!E29</f>
        <v>435099007.44076395</v>
      </c>
      <c r="G25" s="78">
        <f>+'C14'!F29</f>
        <v>483655187.59226847</v>
      </c>
      <c r="H25" s="78">
        <f>+'C14'!G29</f>
        <v>530192861.26419425</v>
      </c>
    </row>
    <row r="26" spans="1:8" ht="12.75">
      <c r="A26" s="49"/>
      <c r="C26" s="118"/>
      <c r="D26" s="118"/>
      <c r="E26" s="118"/>
      <c r="F26" s="118"/>
      <c r="G26" s="118"/>
      <c r="H26" s="118"/>
    </row>
    <row r="27" spans="1:8" ht="18" customHeight="1">
      <c r="A27" s="49"/>
      <c r="B27" s="52" t="s">
        <v>334</v>
      </c>
      <c r="C27" s="50"/>
      <c r="D27" s="118"/>
      <c r="E27" s="50"/>
      <c r="F27" s="50"/>
      <c r="G27" s="50"/>
      <c r="H27" s="50"/>
    </row>
    <row r="28" spans="1:8" ht="13.5" thickBot="1">
      <c r="A28" s="49" t="s">
        <v>45</v>
      </c>
      <c r="B28" s="40" t="s">
        <v>332</v>
      </c>
      <c r="C28" s="445">
        <f aca="true" t="shared" si="1" ref="C28:H28">+C24+C25</f>
        <v>-969035829.3867671</v>
      </c>
      <c r="D28" s="445">
        <f t="shared" si="1"/>
        <v>228569620.13857162</v>
      </c>
      <c r="E28" s="445">
        <f t="shared" si="1"/>
        <v>394700913.6934898</v>
      </c>
      <c r="F28" s="445">
        <f t="shared" si="1"/>
        <v>435099007.44076395</v>
      </c>
      <c r="G28" s="445">
        <f t="shared" si="1"/>
        <v>483655187.59226847</v>
      </c>
      <c r="H28" s="445">
        <f t="shared" si="1"/>
        <v>530192861.26419425</v>
      </c>
    </row>
    <row r="29" spans="3:8" ht="13.5" thickTop="1">
      <c r="C29" s="118"/>
      <c r="D29" s="118"/>
      <c r="E29" s="118"/>
      <c r="F29" s="118"/>
      <c r="G29" s="118"/>
      <c r="H29" s="118"/>
    </row>
    <row r="30" spans="2:8" ht="18" customHeight="1">
      <c r="B30" s="318" t="s">
        <v>175</v>
      </c>
      <c r="C30" s="227"/>
      <c r="D30" s="227"/>
      <c r="E30" s="227"/>
      <c r="F30" s="227"/>
      <c r="G30" s="227"/>
      <c r="H30" s="227"/>
    </row>
    <row r="31" spans="2:8" ht="18" customHeight="1">
      <c r="B31" s="52" t="s">
        <v>174</v>
      </c>
      <c r="C31" s="122">
        <f>+NPV(C7,C28:H28)</f>
        <v>2611895.336022494</v>
      </c>
      <c r="D31" s="122"/>
      <c r="E31" s="122"/>
      <c r="F31" s="122"/>
      <c r="G31" s="122"/>
      <c r="H31" s="50"/>
    </row>
    <row r="32" spans="2:8" ht="18" customHeight="1">
      <c r="B32" s="52" t="s">
        <v>173</v>
      </c>
      <c r="C32" s="446">
        <f>IRR(C28:H28)</f>
        <v>0.2765131940757605</v>
      </c>
      <c r="D32" s="446"/>
      <c r="E32" s="446"/>
      <c r="F32" s="446"/>
      <c r="G32" s="446"/>
      <c r="H32" s="50"/>
    </row>
    <row r="33" spans="2:8" ht="12" customHeight="1" thickBot="1">
      <c r="B33" s="317"/>
      <c r="C33" s="445"/>
      <c r="D33" s="445"/>
      <c r="E33" s="445"/>
      <c r="F33" s="445"/>
      <c r="G33" s="445"/>
      <c r="H33" s="445"/>
    </row>
    <row r="34" ht="13.5" thickTop="1"/>
    <row r="35" ht="12.75">
      <c r="C35" s="320"/>
    </row>
  </sheetData>
  <printOptions horizontalCentered="1" verticalCentered="1"/>
  <pageMargins left="0.75" right="0.75" top="1" bottom="1" header="0" footer="0"/>
  <pageSetup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1.7109375" style="40" customWidth="1"/>
    <col min="2" max="2" width="11.8515625" style="40" customWidth="1"/>
    <col min="3" max="3" width="14.28125" style="219" bestFit="1" customWidth="1"/>
    <col min="4" max="4" width="0.42578125" style="40" customWidth="1"/>
    <col min="5" max="5" width="12.7109375" style="40" customWidth="1"/>
    <col min="6" max="6" width="0.42578125" style="40" customWidth="1"/>
    <col min="7" max="7" width="15.7109375" style="40" customWidth="1"/>
    <col min="8" max="8" width="15.57421875" style="40" customWidth="1"/>
    <col min="9" max="9" width="0.42578125" style="40" customWidth="1"/>
    <col min="10" max="10" width="11.7109375" style="40" customWidth="1"/>
    <col min="11" max="11" width="11.57421875" style="40" customWidth="1"/>
    <col min="12" max="12" width="12.28125" style="40" bestFit="1" customWidth="1"/>
    <col min="13" max="13" width="11.8515625" style="40" bestFit="1" customWidth="1"/>
    <col min="14" max="16384" width="11.421875" style="40" customWidth="1"/>
  </cols>
  <sheetData>
    <row r="1" spans="1:13" s="377" customFormat="1" ht="24" customHeight="1">
      <c r="A1" s="352" t="s">
        <v>169</v>
      </c>
      <c r="B1" s="426"/>
      <c r="C1" s="463"/>
      <c r="D1" s="421"/>
      <c r="E1" s="421"/>
      <c r="F1" s="421"/>
      <c r="G1" s="358"/>
      <c r="H1" s="358"/>
      <c r="I1" s="421"/>
      <c r="J1" s="358"/>
      <c r="K1" s="358"/>
      <c r="M1" s="427"/>
    </row>
    <row r="2" spans="1:13" s="377" customFormat="1" ht="22.5" customHeight="1">
      <c r="A2" s="456" t="s">
        <v>620</v>
      </c>
      <c r="B2" s="426"/>
      <c r="C2" s="463"/>
      <c r="D2" s="421"/>
      <c r="E2" s="421"/>
      <c r="F2" s="421"/>
      <c r="G2" s="358"/>
      <c r="H2" s="358"/>
      <c r="I2" s="421"/>
      <c r="J2" s="358"/>
      <c r="K2" s="358"/>
      <c r="M2" s="427"/>
    </row>
    <row r="3" spans="1:13" ht="12.75" customHeight="1">
      <c r="A3" s="41"/>
      <c r="B3" s="321"/>
      <c r="C3" s="464"/>
      <c r="D3" s="45"/>
      <c r="E3" s="45"/>
      <c r="F3" s="45"/>
      <c r="G3" s="42"/>
      <c r="H3" s="42"/>
      <c r="I3" s="45"/>
      <c r="J3" s="42"/>
      <c r="K3" s="42"/>
      <c r="M3" s="39"/>
    </row>
    <row r="4" spans="1:13" ht="21" customHeight="1">
      <c r="A4" s="322" t="s">
        <v>327</v>
      </c>
      <c r="B4" s="229"/>
      <c r="D4" s="62"/>
      <c r="E4" s="62"/>
      <c r="F4" s="62"/>
      <c r="I4" s="62"/>
      <c r="M4" s="39"/>
    </row>
    <row r="5" spans="1:13" ht="12.75" customHeight="1">
      <c r="A5" s="229"/>
      <c r="B5" s="229"/>
      <c r="D5" s="62"/>
      <c r="E5" s="62"/>
      <c r="F5" s="62"/>
      <c r="I5" s="62"/>
      <c r="M5" s="39"/>
    </row>
    <row r="6" spans="1:13" ht="18" customHeight="1">
      <c r="A6" s="48"/>
      <c r="B6" s="80" t="s">
        <v>328</v>
      </c>
      <c r="C6" s="465"/>
      <c r="D6" s="323"/>
      <c r="E6" s="360" t="s">
        <v>446</v>
      </c>
      <c r="F6" s="323"/>
      <c r="G6" s="324" t="s">
        <v>284</v>
      </c>
      <c r="H6" s="325"/>
      <c r="I6" s="76"/>
      <c r="J6" s="324" t="s">
        <v>170</v>
      </c>
      <c r="K6" s="325"/>
      <c r="M6" s="39"/>
    </row>
    <row r="7" spans="1:16" ht="18" customHeight="1">
      <c r="A7" s="39"/>
      <c r="B7" s="326" t="s">
        <v>286</v>
      </c>
      <c r="C7" s="466" t="s">
        <v>287</v>
      </c>
      <c r="D7" s="323"/>
      <c r="E7" s="134" t="s">
        <v>445</v>
      </c>
      <c r="F7" s="323"/>
      <c r="G7" s="328" t="s">
        <v>171</v>
      </c>
      <c r="H7" s="327" t="s">
        <v>69</v>
      </c>
      <c r="I7" s="104"/>
      <c r="J7" s="328" t="s">
        <v>171</v>
      </c>
      <c r="K7" s="327" t="s">
        <v>69</v>
      </c>
      <c r="L7" s="68"/>
      <c r="M7" s="68"/>
      <c r="N7" s="68"/>
      <c r="O7" s="329"/>
      <c r="P7" s="329"/>
    </row>
    <row r="8" spans="1:16" ht="18" customHeight="1">
      <c r="A8" s="229" t="s">
        <v>285</v>
      </c>
      <c r="B8" s="159"/>
      <c r="C8" s="233"/>
      <c r="D8" s="50"/>
      <c r="E8" s="50"/>
      <c r="F8" s="50"/>
      <c r="G8" s="206">
        <f>+'C15'!C$11+'C15'!D$11</f>
        <v>-545004918.6356779</v>
      </c>
      <c r="H8" s="206">
        <f>+'C15'!C$24+'C15'!D$24</f>
        <v>-1273853320.547678</v>
      </c>
      <c r="I8" s="122"/>
      <c r="J8" s="448">
        <f>+'C15'!C$19</f>
        <v>0.9817592317864863</v>
      </c>
      <c r="K8" s="448">
        <f>+'C15'!C$32</f>
        <v>0.2765131940757605</v>
      </c>
      <c r="L8" s="68"/>
      <c r="M8" s="334">
        <f>0.666666666666667*K8</f>
        <v>0.18434212938384034</v>
      </c>
      <c r="N8" s="68"/>
      <c r="O8" s="329"/>
      <c r="P8" s="329"/>
    </row>
    <row r="9" spans="1:14" ht="15" customHeight="1">
      <c r="A9" s="52" t="s">
        <v>392</v>
      </c>
      <c r="B9" s="177"/>
      <c r="C9" s="467"/>
      <c r="D9" s="50"/>
      <c r="E9" s="50"/>
      <c r="F9" s="50"/>
      <c r="G9" s="17"/>
      <c r="H9" s="17"/>
      <c r="I9" s="449"/>
      <c r="J9" s="100"/>
      <c r="K9" s="100"/>
      <c r="M9" s="330"/>
      <c r="N9" s="330"/>
    </row>
    <row r="10" spans="1:12" ht="12.75">
      <c r="A10" s="40" t="s">
        <v>444</v>
      </c>
      <c r="B10" s="22">
        <f>+'C2B'!D35</f>
        <v>0.9</v>
      </c>
      <c r="C10" s="474">
        <f>+B10*(1+E10)</f>
        <v>1.035</v>
      </c>
      <c r="D10" s="50"/>
      <c r="E10" s="159">
        <v>0.15</v>
      </c>
      <c r="F10" s="50"/>
      <c r="G10" s="61">
        <v>-564717496</v>
      </c>
      <c r="H10" s="61">
        <v>-1378593158</v>
      </c>
      <c r="I10" s="61"/>
      <c r="J10" s="450">
        <v>0.8796</v>
      </c>
      <c r="K10" s="450">
        <v>0.2056</v>
      </c>
      <c r="L10" s="62">
        <v>8</v>
      </c>
    </row>
    <row r="11" spans="1:12" ht="12.75">
      <c r="A11" s="40" t="s">
        <v>308</v>
      </c>
      <c r="B11" s="135">
        <f>+'C2B'!D36</f>
        <v>750</v>
      </c>
      <c r="C11" s="468">
        <f>+B11*(1+E11)</f>
        <v>1125</v>
      </c>
      <c r="D11" s="50"/>
      <c r="E11" s="159">
        <v>0.5</v>
      </c>
      <c r="F11" s="50"/>
      <c r="G11" s="61">
        <v>-610713509</v>
      </c>
      <c r="H11" s="498">
        <v>-1622986112</v>
      </c>
      <c r="I11" s="498"/>
      <c r="J11" s="499">
        <v>0.668</v>
      </c>
      <c r="K11" s="499">
        <v>0.0685</v>
      </c>
      <c r="L11" s="62">
        <v>3</v>
      </c>
    </row>
    <row r="12" spans="1:12" ht="12.75">
      <c r="A12" s="40" t="s">
        <v>389</v>
      </c>
      <c r="B12" s="459">
        <f>+'C5'!E38</f>
        <v>0.275</v>
      </c>
      <c r="C12" s="462">
        <f>+B12*(1+E12)</f>
        <v>0.55</v>
      </c>
      <c r="D12" s="16"/>
      <c r="E12" s="159">
        <v>1</v>
      </c>
      <c r="F12" s="50"/>
      <c r="G12" s="498">
        <v>-666576145</v>
      </c>
      <c r="H12" s="498">
        <v>-1395424547</v>
      </c>
      <c r="I12" s="498"/>
      <c r="J12" s="499">
        <v>0.56</v>
      </c>
      <c r="K12" s="499">
        <v>0.1333</v>
      </c>
      <c r="L12" s="62">
        <v>5</v>
      </c>
    </row>
    <row r="13" spans="1:12" ht="12.75">
      <c r="A13" s="40" t="s">
        <v>390</v>
      </c>
      <c r="B13" s="458">
        <f>+'C9'!B46</f>
        <v>60</v>
      </c>
      <c r="C13" s="469">
        <f>+B13*(1+E13)</f>
        <v>120</v>
      </c>
      <c r="D13" s="50"/>
      <c r="E13" s="159">
        <v>1</v>
      </c>
      <c r="F13" s="50"/>
      <c r="G13" s="61">
        <v>-546169159</v>
      </c>
      <c r="H13" s="498">
        <f>-1275017561</f>
        <v>-1275017561</v>
      </c>
      <c r="I13" s="498"/>
      <c r="J13" s="499">
        <v>0.954</v>
      </c>
      <c r="K13" s="499">
        <v>0.2622</v>
      </c>
      <c r="L13" s="62">
        <v>9</v>
      </c>
    </row>
    <row r="14" spans="1:12" ht="14.25" customHeight="1">
      <c r="A14" s="52" t="s">
        <v>422</v>
      </c>
      <c r="B14" s="50"/>
      <c r="C14" s="469"/>
      <c r="D14" s="50"/>
      <c r="E14" s="50"/>
      <c r="F14" s="50"/>
      <c r="G14" s="61"/>
      <c r="H14" s="498"/>
      <c r="I14" s="498"/>
      <c r="J14" s="499"/>
      <c r="K14" s="499"/>
      <c r="L14" s="62"/>
    </row>
    <row r="15" spans="1:12" ht="12.75">
      <c r="A15" s="40" t="s">
        <v>423</v>
      </c>
      <c r="B15" s="50">
        <f>+'C8'!B28</f>
        <v>6300</v>
      </c>
      <c r="C15" s="469">
        <f aca="true" t="shared" si="0" ref="C15:C31">+B15*(1+E15)</f>
        <v>4410</v>
      </c>
      <c r="D15" s="50"/>
      <c r="E15" s="159">
        <v>-0.3</v>
      </c>
      <c r="F15" s="50"/>
      <c r="G15" s="61">
        <v>-533072311</v>
      </c>
      <c r="H15" s="498">
        <v>-1261920713</v>
      </c>
      <c r="I15" s="498"/>
      <c r="J15" s="499">
        <v>0.7177</v>
      </c>
      <c r="K15" s="499">
        <v>0.1385</v>
      </c>
      <c r="L15" s="62">
        <v>6</v>
      </c>
    </row>
    <row r="16" spans="1:12" ht="12.75">
      <c r="A16" s="40" t="s">
        <v>398</v>
      </c>
      <c r="B16" s="50">
        <f>+'C8'!B29</f>
        <v>5300</v>
      </c>
      <c r="C16" s="469">
        <f t="shared" si="0"/>
        <v>3709.9999999999995</v>
      </c>
      <c r="D16" s="118"/>
      <c r="E16" s="451">
        <v>-0.3</v>
      </c>
      <c r="F16" s="118"/>
      <c r="G16" s="61">
        <v>-527158620</v>
      </c>
      <c r="H16" s="498">
        <v>-1256007022</v>
      </c>
      <c r="I16" s="498"/>
      <c r="J16" s="499">
        <v>0.5776</v>
      </c>
      <c r="K16" s="499">
        <v>0.0617</v>
      </c>
      <c r="L16" s="62">
        <v>1</v>
      </c>
    </row>
    <row r="17" spans="1:12" ht="15" customHeight="1">
      <c r="A17" s="52" t="s">
        <v>393</v>
      </c>
      <c r="B17" s="50"/>
      <c r="C17" s="469"/>
      <c r="D17" s="50"/>
      <c r="E17" s="159"/>
      <c r="F17" s="50"/>
      <c r="G17" s="61"/>
      <c r="H17" s="498"/>
      <c r="I17" s="498"/>
      <c r="J17" s="499"/>
      <c r="K17" s="499"/>
      <c r="L17" s="62"/>
    </row>
    <row r="18" spans="1:12" ht="12.75">
      <c r="A18" s="40" t="s">
        <v>399</v>
      </c>
      <c r="B18" s="159">
        <f>+'C1'!B24</f>
        <v>0.6</v>
      </c>
      <c r="C18" s="462">
        <f t="shared" si="0"/>
        <v>0.48</v>
      </c>
      <c r="D18" s="50"/>
      <c r="E18" s="457">
        <v>-0.2</v>
      </c>
      <c r="F18" s="50"/>
      <c r="G18" s="61">
        <v>-523761062</v>
      </c>
      <c r="H18" s="61">
        <v>-1252609464</v>
      </c>
      <c r="I18" s="61"/>
      <c r="J18" s="450">
        <v>0.6559</v>
      </c>
      <c r="K18" s="450">
        <v>0.1218</v>
      </c>
      <c r="L18" s="62">
        <v>4</v>
      </c>
    </row>
    <row r="19" spans="1:12" ht="12.75">
      <c r="A19" s="40" t="s">
        <v>400</v>
      </c>
      <c r="B19" s="159">
        <f>+'C1'!B25</f>
        <v>0.1</v>
      </c>
      <c r="C19" s="462">
        <f t="shared" si="0"/>
        <v>0.05</v>
      </c>
      <c r="D19" s="50"/>
      <c r="E19" s="159">
        <v>-0.5</v>
      </c>
      <c r="F19" s="50"/>
      <c r="G19" s="61">
        <v>-545004919</v>
      </c>
      <c r="H19" s="61">
        <v>-1273853321</v>
      </c>
      <c r="I19" s="61"/>
      <c r="J19" s="450">
        <v>0.8571</v>
      </c>
      <c r="K19" s="450">
        <v>0.1697</v>
      </c>
      <c r="L19" s="62">
        <v>7</v>
      </c>
    </row>
    <row r="20" spans="1:12" ht="15" customHeight="1">
      <c r="A20" s="52" t="s">
        <v>394</v>
      </c>
      <c r="B20" s="159"/>
      <c r="C20" s="469"/>
      <c r="D20" s="50"/>
      <c r="E20" s="159"/>
      <c r="F20" s="50"/>
      <c r="G20" s="61"/>
      <c r="H20" s="61"/>
      <c r="I20" s="61"/>
      <c r="J20" s="450"/>
      <c r="K20" s="450"/>
      <c r="L20" s="62"/>
    </row>
    <row r="21" spans="1:12" ht="12.75">
      <c r="A21" s="40" t="s">
        <v>401</v>
      </c>
      <c r="B21" s="159">
        <f>+'C1'!B26</f>
        <v>0.29</v>
      </c>
      <c r="C21" s="462">
        <f t="shared" si="0"/>
        <v>0.33349999999999996</v>
      </c>
      <c r="D21" s="50"/>
      <c r="E21" s="159">
        <v>0.15</v>
      </c>
      <c r="F21" s="50"/>
      <c r="G21" s="61">
        <v>-538923311</v>
      </c>
      <c r="H21" s="61">
        <v>-1267771713</v>
      </c>
      <c r="I21" s="61"/>
      <c r="J21" s="450">
        <v>0.8496</v>
      </c>
      <c r="K21" s="450">
        <v>0.2084</v>
      </c>
      <c r="L21" s="62">
        <v>9</v>
      </c>
    </row>
    <row r="22" spans="1:12" ht="12.75">
      <c r="A22" s="40" t="s">
        <v>402</v>
      </c>
      <c r="B22" s="159">
        <f>+'C1'!B27</f>
        <v>0.36</v>
      </c>
      <c r="C22" s="462">
        <f t="shared" si="0"/>
        <v>0.306</v>
      </c>
      <c r="D22" s="50"/>
      <c r="E22" s="159">
        <v>-0.15</v>
      </c>
      <c r="F22" s="50"/>
      <c r="G22" s="61">
        <v>-544057886</v>
      </c>
      <c r="H22" s="61">
        <v>-1272906288</v>
      </c>
      <c r="I22" s="61"/>
      <c r="J22" s="450">
        <v>0.9615</v>
      </c>
      <c r="K22" s="450">
        <v>0.2662</v>
      </c>
      <c r="L22" s="62">
        <v>13</v>
      </c>
    </row>
    <row r="23" spans="1:12" ht="15" customHeight="1">
      <c r="A23" s="52" t="s">
        <v>395</v>
      </c>
      <c r="B23" s="452"/>
      <c r="C23" s="469"/>
      <c r="D23" s="50"/>
      <c r="E23" s="159"/>
      <c r="F23" s="50"/>
      <c r="G23" s="61"/>
      <c r="H23" s="61"/>
      <c r="I23" s="61"/>
      <c r="J23" s="450"/>
      <c r="K23" s="450"/>
      <c r="L23" s="62"/>
    </row>
    <row r="24" spans="1:12" ht="12.75">
      <c r="A24" s="40" t="s">
        <v>403</v>
      </c>
      <c r="B24" s="452">
        <f>+'C1'!B30</f>
        <v>22</v>
      </c>
      <c r="C24" s="469">
        <f t="shared" si="0"/>
        <v>17.6</v>
      </c>
      <c r="D24" s="50"/>
      <c r="E24" s="159">
        <v>-0.2</v>
      </c>
      <c r="F24" s="50"/>
      <c r="G24" s="61">
        <v>-524055062</v>
      </c>
      <c r="H24" s="61">
        <v>-1252903464</v>
      </c>
      <c r="I24" s="61"/>
      <c r="J24" s="450">
        <v>0.5851</v>
      </c>
      <c r="K24" s="450">
        <v>0.0667</v>
      </c>
      <c r="L24" s="40">
        <v>2</v>
      </c>
    </row>
    <row r="25" spans="1:12" ht="12.75">
      <c r="A25" s="40" t="s">
        <v>404</v>
      </c>
      <c r="B25" s="159">
        <f>+'C6'!G32</f>
        <v>0.1</v>
      </c>
      <c r="C25" s="462">
        <f t="shared" si="0"/>
        <v>0.13</v>
      </c>
      <c r="D25" s="50"/>
      <c r="E25" s="159">
        <v>0.3</v>
      </c>
      <c r="F25" s="50"/>
      <c r="G25" s="61">
        <v>-545004919</v>
      </c>
      <c r="H25" s="61">
        <v>1273853321</v>
      </c>
      <c r="I25" s="61"/>
      <c r="J25" s="450">
        <v>0.9705</v>
      </c>
      <c r="K25" s="450">
        <v>0.2662</v>
      </c>
      <c r="L25" s="40">
        <v>12</v>
      </c>
    </row>
    <row r="26" spans="1:11" ht="15" customHeight="1">
      <c r="A26" s="52" t="s">
        <v>396</v>
      </c>
      <c r="B26" s="50"/>
      <c r="C26" s="469"/>
      <c r="D26" s="50"/>
      <c r="E26" s="50"/>
      <c r="F26" s="50"/>
      <c r="G26" s="61"/>
      <c r="H26" s="50"/>
      <c r="I26" s="50"/>
      <c r="J26" s="50"/>
      <c r="K26" s="50"/>
    </row>
    <row r="27" spans="1:11" ht="12.75">
      <c r="A27" s="40" t="s">
        <v>407</v>
      </c>
      <c r="B27" s="50">
        <f>+'C10'!C44</f>
        <v>13200</v>
      </c>
      <c r="C27" s="469">
        <f t="shared" si="0"/>
        <v>26400</v>
      </c>
      <c r="D27" s="50"/>
      <c r="E27" s="159">
        <v>1</v>
      </c>
      <c r="F27" s="50"/>
      <c r="G27" s="61">
        <v>-543354919</v>
      </c>
      <c r="H27" s="61">
        <v>1272203321</v>
      </c>
      <c r="I27" s="61"/>
      <c r="J27" s="450">
        <v>0.9983</v>
      </c>
      <c r="K27" s="450">
        <v>0.2842</v>
      </c>
    </row>
    <row r="28" spans="1:12" ht="12.75">
      <c r="A28" s="40" t="s">
        <v>408</v>
      </c>
      <c r="B28" s="159">
        <f>+'C9'!B37</f>
        <v>0.08</v>
      </c>
      <c r="C28" s="462">
        <f t="shared" si="0"/>
        <v>0.16</v>
      </c>
      <c r="D28" s="50"/>
      <c r="E28" s="159">
        <v>1</v>
      </c>
      <c r="F28" s="50"/>
      <c r="G28" s="61">
        <v>-545886919</v>
      </c>
      <c r="H28" s="61">
        <v>1274735321</v>
      </c>
      <c r="I28" s="61"/>
      <c r="J28" s="450">
        <v>0.9604</v>
      </c>
      <c r="K28" s="450">
        <v>0.2652</v>
      </c>
      <c r="L28" s="40">
        <v>11</v>
      </c>
    </row>
    <row r="29" spans="1:11" ht="15" customHeight="1">
      <c r="A29" s="52" t="s">
        <v>397</v>
      </c>
      <c r="B29" s="50"/>
      <c r="C29" s="470"/>
      <c r="D29" s="50"/>
      <c r="E29" s="50"/>
      <c r="F29" s="16"/>
      <c r="G29" s="61"/>
      <c r="H29" s="61"/>
      <c r="I29" s="61"/>
      <c r="J29" s="450"/>
      <c r="K29" s="450"/>
    </row>
    <row r="30" spans="1:12" ht="12.75">
      <c r="A30" s="40" t="s">
        <v>405</v>
      </c>
      <c r="B30" s="159">
        <f>+'C6'!G30</f>
        <v>0.25</v>
      </c>
      <c r="C30" s="473">
        <f t="shared" si="0"/>
        <v>0.375</v>
      </c>
      <c r="D30" s="50"/>
      <c r="E30" s="159">
        <v>0.5</v>
      </c>
      <c r="F30" s="50"/>
      <c r="G30" s="61">
        <v>-547789294</v>
      </c>
      <c r="H30" s="61">
        <v>1276637696</v>
      </c>
      <c r="I30" s="61"/>
      <c r="J30" s="450">
        <v>0.9483</v>
      </c>
      <c r="K30" s="450">
        <v>0.2588</v>
      </c>
      <c r="L30" s="40">
        <v>10</v>
      </c>
    </row>
    <row r="31" spans="1:12" ht="13.5" thickBot="1">
      <c r="A31" s="40" t="s">
        <v>406</v>
      </c>
      <c r="B31" s="432">
        <f>+'C7'!D32</f>
        <v>230</v>
      </c>
      <c r="C31" s="471">
        <f t="shared" si="0"/>
        <v>299</v>
      </c>
      <c r="D31" s="50"/>
      <c r="E31" s="454">
        <v>0.3</v>
      </c>
      <c r="F31" s="50"/>
      <c r="G31" s="234">
        <v>-545768624</v>
      </c>
      <c r="H31" s="234">
        <v>-1274617026</v>
      </c>
      <c r="I31" s="61"/>
      <c r="J31" s="455">
        <v>0.9395</v>
      </c>
      <c r="K31" s="455">
        <v>0.2544</v>
      </c>
      <c r="L31" s="40">
        <v>9</v>
      </c>
    </row>
    <row r="32" ht="13.5" thickTop="1">
      <c r="C32" s="472"/>
    </row>
  </sheetData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40" bestFit="1" customWidth="1"/>
    <col min="2" max="2" width="9.00390625" style="40" bestFit="1" customWidth="1"/>
    <col min="3" max="3" width="0.42578125" style="40" customWidth="1"/>
    <col min="4" max="4" width="9.421875" style="40" bestFit="1" customWidth="1"/>
    <col min="5" max="5" width="17.00390625" style="40" bestFit="1" customWidth="1"/>
    <col min="6" max="6" width="0.42578125" style="40" customWidth="1"/>
    <col min="7" max="7" width="19.7109375" style="40" bestFit="1" customWidth="1"/>
    <col min="8" max="9" width="11.140625" style="40" customWidth="1"/>
    <col min="10" max="10" width="12.7109375" style="40" customWidth="1"/>
    <col min="11" max="16384" width="11.421875" style="40" customWidth="1"/>
  </cols>
  <sheetData>
    <row r="1" spans="1:3" s="354" customFormat="1" ht="24" customHeight="1">
      <c r="A1" s="352" t="s">
        <v>239</v>
      </c>
      <c r="B1" s="353"/>
      <c r="C1" s="353"/>
    </row>
    <row r="2" spans="1:7" s="354" customFormat="1" ht="23.25">
      <c r="A2" s="355" t="s">
        <v>264</v>
      </c>
      <c r="B2" s="355"/>
      <c r="C2" s="356"/>
      <c r="D2" s="357"/>
      <c r="E2" s="357"/>
      <c r="F2" s="357"/>
      <c r="G2" s="357"/>
    </row>
    <row r="3" spans="1:7" s="354" customFormat="1" ht="23.25" customHeight="1">
      <c r="A3" s="355" t="s">
        <v>265</v>
      </c>
      <c r="B3" s="358"/>
      <c r="C3" s="357"/>
      <c r="D3" s="357"/>
      <c r="E3" s="357"/>
      <c r="F3" s="357"/>
      <c r="G3" s="357"/>
    </row>
    <row r="4" spans="4:7" ht="12.75" customHeight="1">
      <c r="D4" s="43"/>
      <c r="E4" s="44"/>
      <c r="F4" s="45"/>
      <c r="G4" s="44"/>
    </row>
    <row r="5" spans="2:7" ht="36.75" customHeight="1">
      <c r="B5" s="46" t="s">
        <v>257</v>
      </c>
      <c r="C5" s="47"/>
      <c r="D5" s="46" t="s">
        <v>383</v>
      </c>
      <c r="E5" s="46" t="s">
        <v>281</v>
      </c>
      <c r="F5" s="47"/>
      <c r="G5" s="46" t="s">
        <v>605</v>
      </c>
    </row>
    <row r="6" spans="1:7" ht="12.75">
      <c r="A6" s="48" t="s">
        <v>240</v>
      </c>
      <c r="B6" s="49"/>
      <c r="C6" s="49"/>
      <c r="D6" s="50"/>
      <c r="E6" s="22"/>
      <c r="F6" s="22"/>
      <c r="G6" s="22"/>
    </row>
    <row r="7" spans="1:7" ht="12.75">
      <c r="A7" s="40" t="s">
        <v>304</v>
      </c>
      <c r="B7" s="51" t="s">
        <v>305</v>
      </c>
      <c r="C7" s="49"/>
      <c r="D7" s="50">
        <v>0</v>
      </c>
      <c r="E7" s="22">
        <v>0</v>
      </c>
      <c r="F7" s="22"/>
      <c r="G7" s="21">
        <f>D7*E7</f>
        <v>0</v>
      </c>
    </row>
    <row r="8" spans="1:7" ht="12.75">
      <c r="A8" s="40" t="s">
        <v>253</v>
      </c>
      <c r="B8" s="51" t="s">
        <v>270</v>
      </c>
      <c r="C8" s="51"/>
      <c r="D8" s="50">
        <v>0</v>
      </c>
      <c r="E8" s="22">
        <v>0</v>
      </c>
      <c r="F8" s="21"/>
      <c r="G8" s="21">
        <f>D8*E8</f>
        <v>0</v>
      </c>
    </row>
    <row r="9" spans="1:7" ht="12.75">
      <c r="A9" s="40" t="s">
        <v>430</v>
      </c>
      <c r="B9" s="51" t="s">
        <v>259</v>
      </c>
      <c r="C9" s="51"/>
      <c r="D9" s="50">
        <v>2</v>
      </c>
      <c r="E9" s="245">
        <v>11375000</v>
      </c>
      <c r="F9" s="245"/>
      <c r="G9" s="246">
        <f>D9*E9</f>
        <v>22750000</v>
      </c>
    </row>
    <row r="10" spans="1:7" ht="12.75" customHeight="1">
      <c r="A10" s="40" t="s">
        <v>317</v>
      </c>
      <c r="B10" s="51" t="s">
        <v>268</v>
      </c>
      <c r="C10" s="51"/>
      <c r="D10" s="50">
        <v>75</v>
      </c>
      <c r="E10" s="245">
        <v>350000</v>
      </c>
      <c r="F10" s="246"/>
      <c r="G10" s="247">
        <f>D10*E10</f>
        <v>26250000</v>
      </c>
    </row>
    <row r="11" spans="1:7" ht="18" customHeight="1" thickBot="1">
      <c r="A11" s="52" t="s">
        <v>312</v>
      </c>
      <c r="B11" s="53"/>
      <c r="C11" s="53"/>
      <c r="D11" s="54"/>
      <c r="E11" s="248"/>
      <c r="F11" s="249"/>
      <c r="G11" s="250">
        <f>SUM(G7:G10)</f>
        <v>49000000</v>
      </c>
    </row>
    <row r="12" spans="1:7" ht="20.25" customHeight="1" thickTop="1">
      <c r="A12" s="48" t="s">
        <v>299</v>
      </c>
      <c r="B12" s="49"/>
      <c r="C12" s="49"/>
      <c r="D12" s="50"/>
      <c r="E12" s="245"/>
      <c r="F12" s="246"/>
      <c r="G12" s="245"/>
    </row>
    <row r="13" spans="1:7" ht="12.75">
      <c r="A13" s="40" t="s">
        <v>258</v>
      </c>
      <c r="B13" s="51" t="s">
        <v>269</v>
      </c>
      <c r="C13" s="51"/>
      <c r="D13" s="50">
        <v>650</v>
      </c>
      <c r="E13" s="245">
        <v>35000</v>
      </c>
      <c r="F13" s="246"/>
      <c r="G13" s="246">
        <f>D13*E13</f>
        <v>22750000</v>
      </c>
    </row>
    <row r="14" spans="1:7" ht="12.75">
      <c r="A14" s="40" t="s">
        <v>238</v>
      </c>
      <c r="B14" s="51"/>
      <c r="C14" s="51"/>
      <c r="D14" s="50">
        <v>8</v>
      </c>
      <c r="E14" s="245">
        <v>2250000</v>
      </c>
      <c r="F14" s="246"/>
      <c r="G14" s="246">
        <f>D14*E14</f>
        <v>18000000</v>
      </c>
    </row>
    <row r="15" spans="1:7" ht="12.75">
      <c r="A15" s="40" t="s">
        <v>260</v>
      </c>
      <c r="B15" s="51" t="s">
        <v>270</v>
      </c>
      <c r="C15" s="51"/>
      <c r="D15" s="50">
        <v>40</v>
      </c>
      <c r="E15" s="245">
        <v>175000</v>
      </c>
      <c r="F15" s="246"/>
      <c r="G15" s="246">
        <f>D15*E15</f>
        <v>7000000</v>
      </c>
    </row>
    <row r="16" spans="1:7" ht="12.75">
      <c r="A16" s="40" t="s">
        <v>261</v>
      </c>
      <c r="B16" s="51" t="s">
        <v>270</v>
      </c>
      <c r="C16" s="51"/>
      <c r="D16" s="50">
        <v>40</v>
      </c>
      <c r="E16" s="245">
        <v>225000</v>
      </c>
      <c r="F16" s="246"/>
      <c r="G16" s="246">
        <f>D16*E16</f>
        <v>9000000</v>
      </c>
    </row>
    <row r="17" spans="1:7" ht="12.75" customHeight="1">
      <c r="A17" s="40" t="s">
        <v>262</v>
      </c>
      <c r="B17" s="51" t="s">
        <v>270</v>
      </c>
      <c r="C17" s="51"/>
      <c r="D17" s="50">
        <v>100</v>
      </c>
      <c r="E17" s="245">
        <v>175000</v>
      </c>
      <c r="F17" s="246"/>
      <c r="G17" s="247">
        <f>D17*E17</f>
        <v>17500000</v>
      </c>
    </row>
    <row r="18" spans="1:7" ht="18" customHeight="1" thickBot="1">
      <c r="A18" s="52" t="s">
        <v>313</v>
      </c>
      <c r="B18" s="53"/>
      <c r="C18" s="53"/>
      <c r="D18" s="54"/>
      <c r="E18" s="248"/>
      <c r="F18" s="249"/>
      <c r="G18" s="250">
        <f>SUM(G13:G17)</f>
        <v>74250000</v>
      </c>
    </row>
    <row r="19" spans="1:7" ht="21" customHeight="1" thickTop="1">
      <c r="A19" s="52" t="s">
        <v>248</v>
      </c>
      <c r="B19" s="53"/>
      <c r="C19" s="53"/>
      <c r="D19" s="56"/>
      <c r="E19" s="251"/>
      <c r="F19" s="249"/>
      <c r="G19" s="252"/>
    </row>
    <row r="20" spans="1:7" ht="12.75" customHeight="1">
      <c r="A20" s="59" t="s">
        <v>249</v>
      </c>
      <c r="B20" s="60"/>
      <c r="C20" s="60"/>
      <c r="D20" s="56">
        <v>3</v>
      </c>
      <c r="E20" s="251">
        <v>4500000</v>
      </c>
      <c r="F20" s="249"/>
      <c r="G20" s="246">
        <f>D20*E20</f>
        <v>13500000</v>
      </c>
    </row>
    <row r="21" spans="1:7" ht="12.75" customHeight="1">
      <c r="A21" s="59" t="s">
        <v>250</v>
      </c>
      <c r="B21" s="60"/>
      <c r="C21" s="60"/>
      <c r="D21" s="56">
        <v>1</v>
      </c>
      <c r="E21" s="251">
        <v>5500000</v>
      </c>
      <c r="F21" s="249"/>
      <c r="G21" s="246">
        <f>D21*E21</f>
        <v>5500000</v>
      </c>
    </row>
    <row r="22" spans="1:7" ht="12.75" customHeight="1">
      <c r="A22" s="59" t="s">
        <v>251</v>
      </c>
      <c r="B22" s="60"/>
      <c r="C22" s="60"/>
      <c r="D22" s="56">
        <v>1</v>
      </c>
      <c r="E22" s="251">
        <v>6750000</v>
      </c>
      <c r="F22" s="249"/>
      <c r="G22" s="247">
        <f>D22*E22</f>
        <v>6750000</v>
      </c>
    </row>
    <row r="23" spans="1:7" ht="18" customHeight="1" thickBot="1">
      <c r="A23" s="52" t="s">
        <v>314</v>
      </c>
      <c r="B23" s="53"/>
      <c r="C23" s="53"/>
      <c r="D23" s="54"/>
      <c r="E23" s="248"/>
      <c r="F23" s="249"/>
      <c r="G23" s="250">
        <f>SUM(G20:G22)</f>
        <v>25750000</v>
      </c>
    </row>
    <row r="24" spans="1:7" ht="21" customHeight="1" thickTop="1">
      <c r="A24" s="48" t="s">
        <v>241</v>
      </c>
      <c r="B24" s="49"/>
      <c r="C24" s="49"/>
      <c r="D24" s="50"/>
      <c r="E24" s="245"/>
      <c r="F24" s="246"/>
      <c r="G24" s="245"/>
    </row>
    <row r="25" spans="1:7" ht="12.75">
      <c r="A25" s="40" t="s">
        <v>242</v>
      </c>
      <c r="B25" s="51"/>
      <c r="C25" s="51"/>
      <c r="D25" s="50">
        <v>1</v>
      </c>
      <c r="E25" s="245">
        <v>4500000</v>
      </c>
      <c r="F25" s="246"/>
      <c r="G25" s="246">
        <f aca="true" t="shared" si="0" ref="G25:G31">D25*E25</f>
        <v>4500000</v>
      </c>
    </row>
    <row r="26" spans="1:7" ht="12.75">
      <c r="A26" s="40" t="s">
        <v>292</v>
      </c>
      <c r="B26" s="51"/>
      <c r="C26" s="51"/>
      <c r="D26" s="50">
        <v>1</v>
      </c>
      <c r="E26" s="245">
        <v>6500000</v>
      </c>
      <c r="F26" s="246"/>
      <c r="G26" s="246">
        <f t="shared" si="0"/>
        <v>6500000</v>
      </c>
    </row>
    <row r="27" spans="1:7" ht="12.75" customHeight="1">
      <c r="A27" s="40" t="s">
        <v>243</v>
      </c>
      <c r="B27" s="51"/>
      <c r="C27" s="51"/>
      <c r="D27" s="50">
        <v>1</v>
      </c>
      <c r="E27" s="245">
        <v>5500000</v>
      </c>
      <c r="F27" s="246"/>
      <c r="G27" s="246">
        <f t="shared" si="0"/>
        <v>5500000</v>
      </c>
    </row>
    <row r="28" spans="1:7" ht="12.75">
      <c r="A28" s="40" t="s">
        <v>244</v>
      </c>
      <c r="B28" s="51"/>
      <c r="C28" s="51"/>
      <c r="D28" s="50">
        <v>1</v>
      </c>
      <c r="E28" s="245">
        <v>4500000</v>
      </c>
      <c r="F28" s="246"/>
      <c r="G28" s="246">
        <f t="shared" si="0"/>
        <v>4500000</v>
      </c>
    </row>
    <row r="29" spans="1:7" ht="12.75">
      <c r="A29" s="40" t="s">
        <v>282</v>
      </c>
      <c r="B29" s="51"/>
      <c r="C29" s="51"/>
      <c r="D29" s="50">
        <v>1</v>
      </c>
      <c r="E29" s="245">
        <v>2750000</v>
      </c>
      <c r="F29" s="246"/>
      <c r="G29" s="246">
        <f t="shared" si="0"/>
        <v>2750000</v>
      </c>
    </row>
    <row r="30" spans="1:7" ht="12.75" customHeight="1">
      <c r="A30" s="40" t="s">
        <v>283</v>
      </c>
      <c r="B30" s="51"/>
      <c r="C30" s="51"/>
      <c r="D30" s="50">
        <v>1</v>
      </c>
      <c r="E30" s="245">
        <v>2250000</v>
      </c>
      <c r="F30" s="246"/>
      <c r="G30" s="246">
        <f t="shared" si="0"/>
        <v>2250000</v>
      </c>
    </row>
    <row r="31" spans="1:7" ht="12.75">
      <c r="A31" s="40" t="s">
        <v>256</v>
      </c>
      <c r="B31" s="51"/>
      <c r="C31" s="51"/>
      <c r="D31" s="50">
        <v>1</v>
      </c>
      <c r="E31" s="245">
        <v>2500000</v>
      </c>
      <c r="F31" s="246"/>
      <c r="G31" s="247">
        <f t="shared" si="0"/>
        <v>2500000</v>
      </c>
    </row>
    <row r="32" spans="1:7" ht="16.5" customHeight="1" thickBot="1">
      <c r="A32" s="52" t="s">
        <v>309</v>
      </c>
      <c r="B32" s="53"/>
      <c r="C32" s="53"/>
      <c r="D32" s="54"/>
      <c r="E32" s="248"/>
      <c r="F32" s="249"/>
      <c r="G32" s="250">
        <f>SUM(G25:G31)</f>
        <v>28500000</v>
      </c>
    </row>
    <row r="33" spans="1:7" ht="23.25" customHeight="1" thickTop="1">
      <c r="A33" s="52" t="s">
        <v>364</v>
      </c>
      <c r="B33" s="53"/>
      <c r="C33" s="53"/>
      <c r="D33" s="61">
        <v>1</v>
      </c>
      <c r="E33" s="249">
        <v>6500000</v>
      </c>
      <c r="F33" s="249"/>
      <c r="G33" s="247">
        <f>D33*E33</f>
        <v>6500000</v>
      </c>
    </row>
    <row r="35" ht="12.75">
      <c r="F35" s="62"/>
    </row>
    <row r="36" ht="12.75">
      <c r="F36" s="62"/>
    </row>
    <row r="37" ht="12.75">
      <c r="F37" s="62"/>
    </row>
    <row r="38" ht="12.75">
      <c r="F38" s="62"/>
    </row>
    <row r="39" ht="12.75">
      <c r="F39" s="62"/>
    </row>
    <row r="40" ht="12.75">
      <c r="F40" s="62"/>
    </row>
    <row r="41" ht="12.75">
      <c r="F41" s="62"/>
    </row>
    <row r="42" ht="12.75">
      <c r="F42" s="62"/>
    </row>
  </sheetData>
  <printOptions horizontalCentered="1" verticalCentered="1"/>
  <pageMargins left="0.75" right="0.75" top="1" bottom="1" header="0" footer="0"/>
  <pageSetup horizontalDpi="200" verticalDpi="200" orientation="portrait" paperSize="9" r:id="rId1"/>
  <ignoredErrors>
    <ignoredError sqref="G3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11.421875" defaultRowHeight="12.75"/>
  <cols>
    <col min="1" max="1" width="41.57421875" style="40" customWidth="1"/>
    <col min="2" max="2" width="21.00390625" style="40" customWidth="1"/>
    <col min="3" max="3" width="17.28125" style="461" customWidth="1"/>
    <col min="4" max="4" width="0.42578125" style="40" customWidth="1"/>
    <col min="5" max="5" width="12.8515625" style="40" customWidth="1"/>
    <col min="6" max="6" width="0.42578125" style="40" customWidth="1"/>
    <col min="7" max="7" width="13.57421875" style="40" bestFit="1" customWidth="1"/>
    <col min="8" max="8" width="16.421875" style="40" customWidth="1"/>
    <col min="9" max="9" width="0.42578125" style="40" customWidth="1"/>
    <col min="10" max="10" width="11.57421875" style="40" customWidth="1"/>
    <col min="11" max="11" width="18.57421875" style="40" customWidth="1"/>
    <col min="12" max="12" width="12.28125" style="40" bestFit="1" customWidth="1"/>
    <col min="13" max="13" width="12.00390625" style="40" bestFit="1" customWidth="1"/>
    <col min="14" max="16384" width="11.421875" style="40" customWidth="1"/>
  </cols>
  <sheetData>
    <row r="1" spans="1:15" s="377" customFormat="1" ht="24" customHeight="1">
      <c r="A1" s="352" t="s">
        <v>172</v>
      </c>
      <c r="B1" s="355"/>
      <c r="C1" s="478"/>
      <c r="D1" s="358"/>
      <c r="E1" s="358"/>
      <c r="F1" s="358"/>
      <c r="G1" s="358"/>
      <c r="H1" s="358"/>
      <c r="I1" s="421"/>
      <c r="J1" s="358"/>
      <c r="K1" s="421"/>
      <c r="L1" s="428"/>
      <c r="M1" s="428"/>
      <c r="N1" s="429"/>
      <c r="O1" s="429"/>
    </row>
    <row r="2" spans="1:15" s="377" customFormat="1" ht="24" customHeight="1">
      <c r="A2" s="456" t="s">
        <v>621</v>
      </c>
      <c r="B2" s="355"/>
      <c r="C2" s="478"/>
      <c r="D2" s="358"/>
      <c r="E2" s="358"/>
      <c r="F2" s="358"/>
      <c r="G2" s="358"/>
      <c r="H2" s="358"/>
      <c r="I2" s="421"/>
      <c r="J2" s="358"/>
      <c r="K2" s="421"/>
      <c r="L2" s="428"/>
      <c r="M2" s="428"/>
      <c r="N2" s="429"/>
      <c r="O2" s="429"/>
    </row>
    <row r="3" spans="1:15" ht="12.75" customHeight="1">
      <c r="A3" s="41"/>
      <c r="B3" s="41"/>
      <c r="C3" s="479"/>
      <c r="D3" s="42"/>
      <c r="E3" s="42"/>
      <c r="F3" s="42"/>
      <c r="G3" s="42"/>
      <c r="H3" s="42"/>
      <c r="I3" s="45"/>
      <c r="J3" s="42"/>
      <c r="K3" s="45"/>
      <c r="L3" s="68"/>
      <c r="M3" s="68"/>
      <c r="N3" s="334"/>
      <c r="O3" s="334"/>
    </row>
    <row r="4" spans="1:11" ht="21" customHeight="1">
      <c r="A4" s="322" t="s">
        <v>329</v>
      </c>
      <c r="B4" s="229"/>
      <c r="I4" s="62"/>
      <c r="K4" s="112"/>
    </row>
    <row r="5" spans="1:11" ht="12.75" customHeight="1">
      <c r="A5" s="229"/>
      <c r="B5" s="229"/>
      <c r="I5" s="62"/>
      <c r="K5" s="335"/>
    </row>
    <row r="6" spans="1:11" ht="18" customHeight="1">
      <c r="A6" s="48"/>
      <c r="B6" s="503" t="s">
        <v>328</v>
      </c>
      <c r="C6" s="480"/>
      <c r="D6" s="323"/>
      <c r="E6" s="360" t="s">
        <v>446</v>
      </c>
      <c r="G6" s="324" t="s">
        <v>284</v>
      </c>
      <c r="H6" s="325"/>
      <c r="I6" s="76"/>
      <c r="J6" s="324" t="s">
        <v>170</v>
      </c>
      <c r="K6" s="325"/>
    </row>
    <row r="7" spans="1:11" ht="18" customHeight="1">
      <c r="A7" s="39"/>
      <c r="B7" s="326" t="s">
        <v>286</v>
      </c>
      <c r="C7" s="481" t="s">
        <v>287</v>
      </c>
      <c r="D7" s="323"/>
      <c r="E7" s="134" t="s">
        <v>445</v>
      </c>
      <c r="G7" s="328" t="s">
        <v>171</v>
      </c>
      <c r="H7" s="327" t="s">
        <v>69</v>
      </c>
      <c r="I7" s="104"/>
      <c r="J7" s="328" t="s">
        <v>171</v>
      </c>
      <c r="K7" s="327" t="s">
        <v>69</v>
      </c>
    </row>
    <row r="8" spans="1:11" ht="18" customHeight="1">
      <c r="A8" s="229" t="s">
        <v>285</v>
      </c>
      <c r="B8" s="50"/>
      <c r="C8" s="308"/>
      <c r="D8" s="50"/>
      <c r="E8" s="50"/>
      <c r="F8" s="50"/>
      <c r="G8" s="206">
        <f>+'C15'!C11+'C15'!D$11</f>
        <v>-545004918.6356779</v>
      </c>
      <c r="H8" s="206">
        <f>+'C15'!C$24+'C15'!D$24</f>
        <v>-1273853320.547678</v>
      </c>
      <c r="I8" s="122"/>
      <c r="J8" s="448">
        <f>+'C15'!C$19</f>
        <v>0.9817592317864863</v>
      </c>
      <c r="K8" s="448">
        <f>+'C15'!C$32</f>
        <v>0.2765131940757605</v>
      </c>
    </row>
    <row r="9" spans="1:11" ht="14.25" customHeight="1">
      <c r="A9" s="52" t="s">
        <v>392</v>
      </c>
      <c r="B9" s="118"/>
      <c r="C9" s="485"/>
      <c r="D9" s="118"/>
      <c r="E9" s="451"/>
      <c r="F9" s="118"/>
      <c r="G9" s="61"/>
      <c r="H9" s="61"/>
      <c r="I9" s="61"/>
      <c r="J9" s="450"/>
      <c r="K9" s="450"/>
    </row>
    <row r="10" spans="1:11" ht="12.75">
      <c r="A10" s="40" t="s">
        <v>444</v>
      </c>
      <c r="B10" s="22"/>
      <c r="C10" s="485"/>
      <c r="D10" s="486"/>
      <c r="E10" s="451"/>
      <c r="F10" s="486"/>
      <c r="G10" s="61"/>
      <c r="H10" s="61"/>
      <c r="I10" s="61"/>
      <c r="J10" s="450"/>
      <c r="K10" s="450"/>
    </row>
    <row r="11" spans="1:15" ht="12.75">
      <c r="A11" s="40" t="s">
        <v>308</v>
      </c>
      <c r="B11" s="504">
        <f>+'C2B'!D36</f>
        <v>750</v>
      </c>
      <c r="C11" s="505">
        <v>1278.94</v>
      </c>
      <c r="D11" s="487"/>
      <c r="E11" s="451">
        <f>+C11/B11-1</f>
        <v>0.7052533333333335</v>
      </c>
      <c r="F11" s="487"/>
      <c r="G11" s="61">
        <v>-637687556.18388</v>
      </c>
      <c r="H11" s="61">
        <v>-1766308739.05769</v>
      </c>
      <c r="I11" s="61"/>
      <c r="J11" s="450">
        <v>0.55683</v>
      </c>
      <c r="K11" s="506">
        <v>2.85986E-05</v>
      </c>
      <c r="M11" s="62"/>
      <c r="N11" s="330"/>
      <c r="O11" s="330"/>
    </row>
    <row r="12" spans="1:16" ht="12.75">
      <c r="A12" s="40" t="s">
        <v>389</v>
      </c>
      <c r="B12" s="159">
        <f>+'C5'!E38</f>
        <v>0.275</v>
      </c>
      <c r="C12" s="473">
        <v>0.8349</v>
      </c>
      <c r="D12" s="487"/>
      <c r="E12" s="451">
        <f>+C12/B12-1</f>
        <v>2.0359999999999996</v>
      </c>
      <c r="F12" s="487"/>
      <c r="G12" s="61">
        <v>-848971245.741073</v>
      </c>
      <c r="H12" s="61">
        <v>-1577819647.65307</v>
      </c>
      <c r="I12" s="61"/>
      <c r="J12" s="450">
        <v>0.2763</v>
      </c>
      <c r="K12" s="506">
        <v>0.00025</v>
      </c>
      <c r="L12" s="69"/>
      <c r="M12" s="69"/>
      <c r="N12" s="69"/>
      <c r="O12" s="319"/>
      <c r="P12" s="319"/>
    </row>
    <row r="13" spans="1:11" ht="12.75">
      <c r="A13" s="40" t="s">
        <v>390</v>
      </c>
      <c r="B13" s="160"/>
      <c r="C13" s="489"/>
      <c r="D13" s="486"/>
      <c r="E13" s="488"/>
      <c r="F13" s="486"/>
      <c r="G13" s="61"/>
      <c r="H13" s="61"/>
      <c r="I13" s="61"/>
      <c r="J13" s="450"/>
      <c r="K13" s="506"/>
    </row>
    <row r="14" spans="1:11" ht="14.25" customHeight="1">
      <c r="A14" s="52" t="s">
        <v>422</v>
      </c>
      <c r="B14" s="50"/>
      <c r="C14" s="473"/>
      <c r="D14" s="486"/>
      <c r="E14" s="488"/>
      <c r="F14" s="486"/>
      <c r="G14" s="61"/>
      <c r="H14" s="61"/>
      <c r="I14" s="61"/>
      <c r="J14" s="450"/>
      <c r="K14" s="506"/>
    </row>
    <row r="15" spans="1:11" ht="12.75">
      <c r="A15" s="40" t="s">
        <v>423</v>
      </c>
      <c r="B15" s="50">
        <f>+'C8'!B28</f>
        <v>6300</v>
      </c>
      <c r="C15" s="469">
        <v>2789.82837</v>
      </c>
      <c r="D15" s="50"/>
      <c r="E15" s="451">
        <f>+C15/B15-1</f>
        <v>-0.5571701</v>
      </c>
      <c r="F15" s="50"/>
      <c r="G15" s="61">
        <v>-522844377.724722</v>
      </c>
      <c r="H15" s="61">
        <v>-1251691679.63672</v>
      </c>
      <c r="I15" s="61"/>
      <c r="J15" s="450">
        <v>0.46888</v>
      </c>
      <c r="K15" s="506">
        <v>3.93E-07</v>
      </c>
    </row>
    <row r="16" spans="1:11" ht="12.75">
      <c r="A16" s="40" t="s">
        <v>398</v>
      </c>
      <c r="B16" s="118">
        <f>+'C8'!B29</f>
        <v>5300</v>
      </c>
      <c r="C16" s="453">
        <v>3327.31464</v>
      </c>
      <c r="D16" s="118"/>
      <c r="E16" s="451">
        <f>+C16/B16-1</f>
        <v>-0.37220478490566034</v>
      </c>
      <c r="F16" s="118"/>
      <c r="G16" s="61">
        <v>-522863326.038903</v>
      </c>
      <c r="H16" s="61">
        <v>-1251711727.9509</v>
      </c>
      <c r="I16" s="61"/>
      <c r="J16" s="450">
        <v>0.4694</v>
      </c>
      <c r="K16" s="506">
        <v>0.000339</v>
      </c>
    </row>
    <row r="17" spans="1:11" ht="14.25" customHeight="1">
      <c r="A17" s="52" t="s">
        <v>393</v>
      </c>
      <c r="B17" s="50"/>
      <c r="C17" s="308"/>
      <c r="D17" s="50"/>
      <c r="E17" s="488"/>
      <c r="F17" s="50"/>
      <c r="G17" s="50"/>
      <c r="H17" s="50"/>
      <c r="I17" s="50"/>
      <c r="J17" s="50"/>
      <c r="K17" s="506"/>
    </row>
    <row r="18" spans="1:11" ht="12.75">
      <c r="A18" s="40" t="s">
        <v>399</v>
      </c>
      <c r="B18" s="457">
        <v>0.6</v>
      </c>
      <c r="C18" s="473">
        <v>0.3946</v>
      </c>
      <c r="D18" s="486"/>
      <c r="E18" s="451">
        <f>+C18/B18-1</f>
        <v>-0.34233333333333327</v>
      </c>
      <c r="F18" s="486"/>
      <c r="G18" s="61">
        <v>-510183531.263226</v>
      </c>
      <c r="H18" s="61">
        <v>-1239031933.17523</v>
      </c>
      <c r="I18" s="61"/>
      <c r="J18" s="450">
        <v>0.4117</v>
      </c>
      <c r="K18" s="506">
        <v>2.85986E-05</v>
      </c>
    </row>
    <row r="19" spans="1:11" ht="12.75">
      <c r="A19" s="40" t="s">
        <v>400</v>
      </c>
      <c r="B19" s="159">
        <v>0.1</v>
      </c>
      <c r="C19" s="473">
        <v>-0.0041</v>
      </c>
      <c r="D19" s="486"/>
      <c r="E19" s="451">
        <f>+C19/B19-1</f>
        <v>-1.041</v>
      </c>
      <c r="F19" s="486"/>
      <c r="G19" s="61">
        <v>-545004918.635678</v>
      </c>
      <c r="H19" s="61">
        <v>-1273853320.54768</v>
      </c>
      <c r="I19" s="61"/>
      <c r="J19" s="450">
        <v>0.6834</v>
      </c>
      <c r="K19" s="506">
        <v>-3.5E-05</v>
      </c>
    </row>
    <row r="20" spans="1:11" ht="14.25" customHeight="1">
      <c r="A20" s="52" t="s">
        <v>394</v>
      </c>
      <c r="B20" s="159"/>
      <c r="C20" s="485"/>
      <c r="D20" s="486"/>
      <c r="E20" s="488"/>
      <c r="F20" s="486"/>
      <c r="G20" s="61"/>
      <c r="H20" s="61"/>
      <c r="I20" s="61"/>
      <c r="J20" s="450"/>
      <c r="K20" s="506"/>
    </row>
    <row r="21" spans="1:11" ht="12.75">
      <c r="A21" s="40" t="s">
        <v>401</v>
      </c>
      <c r="B21" s="159"/>
      <c r="C21" s="473"/>
      <c r="D21" s="118"/>
      <c r="E21" s="488"/>
      <c r="F21" s="118"/>
      <c r="G21" s="61"/>
      <c r="H21" s="61"/>
      <c r="I21" s="61"/>
      <c r="J21" s="450"/>
      <c r="K21" s="506"/>
    </row>
    <row r="22" spans="1:11" ht="12.75">
      <c r="A22" s="40" t="s">
        <v>402</v>
      </c>
      <c r="B22" s="159"/>
      <c r="C22" s="473"/>
      <c r="D22" s="118"/>
      <c r="E22" s="488"/>
      <c r="F22" s="118"/>
      <c r="G22" s="61"/>
      <c r="H22" s="61"/>
      <c r="I22" s="61"/>
      <c r="J22" s="450"/>
      <c r="K22" s="506"/>
    </row>
    <row r="23" spans="1:11" ht="15" customHeight="1">
      <c r="A23" s="52" t="s">
        <v>395</v>
      </c>
      <c r="B23" s="452"/>
      <c r="C23" s="308"/>
      <c r="D23" s="50"/>
      <c r="E23" s="488"/>
      <c r="F23" s="50"/>
      <c r="G23" s="61"/>
      <c r="H23" s="61"/>
      <c r="I23" s="61"/>
      <c r="J23" s="450"/>
      <c r="K23" s="506"/>
    </row>
    <row r="24" spans="1:11" ht="12.75">
      <c r="A24" s="40" t="s">
        <v>403</v>
      </c>
      <c r="B24" s="452">
        <v>22</v>
      </c>
      <c r="C24" s="501">
        <v>16.4165158115073</v>
      </c>
      <c r="D24" s="50"/>
      <c r="E24" s="451">
        <f>+C24/B24-1</f>
        <v>-0.2537947358405773</v>
      </c>
      <c r="F24" s="118"/>
      <c r="G24" s="61">
        <v>-518420101.455685</v>
      </c>
      <c r="H24" s="61">
        <v>-1247268503.36769</v>
      </c>
      <c r="I24" s="61"/>
      <c r="J24" s="450">
        <v>0.46676</v>
      </c>
      <c r="K24" s="506">
        <v>8.971E-07</v>
      </c>
    </row>
    <row r="25" spans="1:11" ht="12.75">
      <c r="A25" s="40" t="s">
        <v>404</v>
      </c>
      <c r="B25" s="228"/>
      <c r="C25" s="483"/>
      <c r="E25" s="477"/>
      <c r="F25" s="62"/>
      <c r="G25" s="68"/>
      <c r="H25" s="68"/>
      <c r="I25" s="68"/>
      <c r="J25" s="329"/>
      <c r="K25" s="507"/>
    </row>
    <row r="26" spans="1:11" ht="12.75">
      <c r="A26" s="52" t="s">
        <v>396</v>
      </c>
      <c r="E26" s="477"/>
      <c r="K26" s="508"/>
    </row>
    <row r="27" spans="1:11" ht="12.75">
      <c r="A27" s="40" t="s">
        <v>407</v>
      </c>
      <c r="C27" s="482"/>
      <c r="E27" s="477"/>
      <c r="G27" s="68"/>
      <c r="H27" s="68"/>
      <c r="I27" s="68"/>
      <c r="J27" s="329"/>
      <c r="K27" s="507"/>
    </row>
    <row r="28" spans="1:11" ht="12.75">
      <c r="A28" s="40" t="s">
        <v>408</v>
      </c>
      <c r="B28" s="228"/>
      <c r="C28" s="483"/>
      <c r="E28" s="477"/>
      <c r="G28" s="68"/>
      <c r="H28" s="68"/>
      <c r="I28" s="68"/>
      <c r="J28" s="329"/>
      <c r="K28" s="507"/>
    </row>
    <row r="29" spans="1:11" ht="12.75">
      <c r="A29" s="52" t="s">
        <v>397</v>
      </c>
      <c r="E29" s="477"/>
      <c r="G29" s="68"/>
      <c r="H29" s="68"/>
      <c r="I29" s="68"/>
      <c r="J29" s="329"/>
      <c r="K29" s="507"/>
    </row>
    <row r="30" spans="1:11" ht="12.75">
      <c r="A30" s="40" t="s">
        <v>405</v>
      </c>
      <c r="B30" s="228"/>
      <c r="C30" s="483"/>
      <c r="E30" s="477"/>
      <c r="G30" s="68"/>
      <c r="H30" s="68"/>
      <c r="I30" s="68"/>
      <c r="J30" s="329"/>
      <c r="K30" s="507"/>
    </row>
    <row r="31" spans="1:11" ht="13.5" thickBot="1">
      <c r="A31" s="40" t="s">
        <v>406</v>
      </c>
      <c r="B31" s="331"/>
      <c r="C31" s="484"/>
      <c r="E31" s="500"/>
      <c r="G31" s="332"/>
      <c r="H31" s="332"/>
      <c r="I31" s="68"/>
      <c r="J31" s="333"/>
      <c r="K31" s="333"/>
    </row>
    <row r="32" ht="13.5" thickTop="1"/>
  </sheetData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1.7109375" style="39" customWidth="1"/>
    <col min="2" max="3" width="11.7109375" style="39" customWidth="1"/>
    <col min="4" max="4" width="0.42578125" style="39" customWidth="1"/>
    <col min="5" max="5" width="12.8515625" style="39" customWidth="1"/>
    <col min="6" max="6" width="0.2890625" style="39" customWidth="1"/>
    <col min="7" max="7" width="13.57421875" style="39" bestFit="1" customWidth="1"/>
    <col min="8" max="8" width="15.421875" style="39" bestFit="1" customWidth="1"/>
    <col min="9" max="9" width="0.42578125" style="39" customWidth="1"/>
    <col min="10" max="16384" width="11.421875" style="39" customWidth="1"/>
  </cols>
  <sheetData>
    <row r="1" spans="1:11" s="427" customFormat="1" ht="24" customHeight="1">
      <c r="A1" s="352" t="s">
        <v>433</v>
      </c>
      <c r="B1" s="426"/>
      <c r="C1" s="358"/>
      <c r="D1" s="421"/>
      <c r="E1" s="421"/>
      <c r="F1" s="421"/>
      <c r="G1" s="358"/>
      <c r="H1" s="358"/>
      <c r="I1" s="421"/>
      <c r="J1" s="358"/>
      <c r="K1" s="358"/>
    </row>
    <row r="2" spans="1:11" s="427" customFormat="1" ht="24" customHeight="1">
      <c r="A2" s="456" t="s">
        <v>622</v>
      </c>
      <c r="B2" s="426"/>
      <c r="C2" s="358"/>
      <c r="D2" s="421"/>
      <c r="E2" s="421"/>
      <c r="F2" s="421"/>
      <c r="G2" s="358"/>
      <c r="H2" s="358"/>
      <c r="I2" s="421"/>
      <c r="J2" s="358"/>
      <c r="K2" s="358"/>
    </row>
    <row r="3" spans="1:11" ht="12.75" customHeight="1">
      <c r="A3" s="41"/>
      <c r="B3" s="321"/>
      <c r="C3" s="42"/>
      <c r="D3" s="45"/>
      <c r="E3" s="45"/>
      <c r="F3" s="45"/>
      <c r="G3" s="42"/>
      <c r="H3" s="42"/>
      <c r="I3" s="45"/>
      <c r="J3" s="42"/>
      <c r="K3" s="42"/>
    </row>
    <row r="4" spans="1:11" ht="21" customHeight="1">
      <c r="A4" s="322" t="s">
        <v>434</v>
      </c>
      <c r="B4" s="229"/>
      <c r="C4" s="40"/>
      <c r="D4" s="62"/>
      <c r="E4" s="62"/>
      <c r="F4" s="62"/>
      <c r="G4" s="40"/>
      <c r="H4" s="40"/>
      <c r="I4" s="62"/>
      <c r="J4" s="40"/>
      <c r="K4" s="40"/>
    </row>
    <row r="5" spans="1:11" ht="12.75">
      <c r="A5" s="229"/>
      <c r="B5" s="229"/>
      <c r="C5" s="40"/>
      <c r="D5" s="62"/>
      <c r="E5" s="62"/>
      <c r="F5" s="62"/>
      <c r="G5" s="40"/>
      <c r="H5" s="40"/>
      <c r="I5" s="62"/>
      <c r="J5" s="40"/>
      <c r="K5" s="40"/>
    </row>
    <row r="6" spans="1:11" ht="18" customHeight="1">
      <c r="A6" s="48"/>
      <c r="B6" s="80" t="s">
        <v>328</v>
      </c>
      <c r="C6" s="80"/>
      <c r="D6" s="323"/>
      <c r="E6" s="360" t="s">
        <v>446</v>
      </c>
      <c r="F6" s="323"/>
      <c r="G6" s="324" t="s">
        <v>284</v>
      </c>
      <c r="H6" s="325"/>
      <c r="I6" s="76"/>
      <c r="J6" s="324" t="s">
        <v>170</v>
      </c>
      <c r="K6" s="325"/>
    </row>
    <row r="7" spans="2:11" ht="18" customHeight="1">
      <c r="B7" s="326" t="s">
        <v>286</v>
      </c>
      <c r="C7" s="327" t="s">
        <v>287</v>
      </c>
      <c r="D7" s="323"/>
      <c r="E7" s="134" t="s">
        <v>445</v>
      </c>
      <c r="F7" s="323"/>
      <c r="G7" s="328" t="s">
        <v>171</v>
      </c>
      <c r="H7" s="327" t="s">
        <v>69</v>
      </c>
      <c r="I7" s="104"/>
      <c r="J7" s="328" t="s">
        <v>171</v>
      </c>
      <c r="K7" s="327" t="s">
        <v>69</v>
      </c>
    </row>
    <row r="8" spans="1:11" ht="18" customHeight="1">
      <c r="A8" s="229" t="s">
        <v>285</v>
      </c>
      <c r="B8" s="50"/>
      <c r="C8" s="50"/>
      <c r="D8" s="50"/>
      <c r="E8" s="50"/>
      <c r="F8" s="50"/>
      <c r="G8" s="206">
        <f>+'C15'!C$11+'C15'!D$11</f>
        <v>-545004918.6356779</v>
      </c>
      <c r="H8" s="206">
        <f>+'C15'!C$24+'C15'!D$24</f>
        <v>-1273853320.547678</v>
      </c>
      <c r="I8" s="122"/>
      <c r="J8" s="448">
        <f>+'C15'!C$19</f>
        <v>0.9817592317864863</v>
      </c>
      <c r="K8" s="448">
        <f>+'C15'!C$32</f>
        <v>0.2765131940757605</v>
      </c>
    </row>
    <row r="9" spans="1:11" ht="15" customHeight="1">
      <c r="A9" s="52" t="s">
        <v>392</v>
      </c>
      <c r="B9" s="177"/>
      <c r="C9" s="50"/>
      <c r="D9" s="50"/>
      <c r="E9" s="50"/>
      <c r="F9" s="50"/>
      <c r="G9" s="17"/>
      <c r="H9" s="17"/>
      <c r="I9" s="449"/>
      <c r="J9" s="100"/>
      <c r="K9" s="100"/>
    </row>
    <row r="10" spans="1:11" ht="12.75">
      <c r="A10" s="40" t="s">
        <v>444</v>
      </c>
      <c r="B10" s="50"/>
      <c r="C10" s="177"/>
      <c r="D10" s="50"/>
      <c r="E10" s="159"/>
      <c r="F10" s="50"/>
      <c r="G10" s="61"/>
      <c r="H10" s="61"/>
      <c r="I10" s="61"/>
      <c r="J10" s="450"/>
      <c r="K10" s="450"/>
    </row>
    <row r="11" spans="1:11" ht="12.75">
      <c r="A11" s="40" t="s">
        <v>308</v>
      </c>
      <c r="B11" s="50">
        <f>+'C16A'!B11</f>
        <v>750</v>
      </c>
      <c r="C11" s="177">
        <f>+B11*(1+E11)</f>
        <v>900</v>
      </c>
      <c r="D11" s="50"/>
      <c r="E11" s="159">
        <v>0.2</v>
      </c>
      <c r="F11" s="50"/>
      <c r="G11" s="61">
        <v>-546516981.37</v>
      </c>
      <c r="H11" s="61">
        <v>-1388735063.6711</v>
      </c>
      <c r="I11" s="61"/>
      <c r="J11" s="450">
        <v>0.365066</v>
      </c>
      <c r="K11" s="450">
        <v>-0.068475</v>
      </c>
    </row>
    <row r="12" spans="1:11" ht="12.75">
      <c r="A12" s="40" t="s">
        <v>389</v>
      </c>
      <c r="B12" s="159"/>
      <c r="C12" s="177"/>
      <c r="D12" s="16"/>
      <c r="E12" s="159"/>
      <c r="F12" s="50"/>
      <c r="G12" s="61"/>
      <c r="H12" s="61"/>
      <c r="I12" s="61"/>
      <c r="J12" s="450"/>
      <c r="K12" s="450"/>
    </row>
    <row r="13" spans="1:11" ht="12.75">
      <c r="A13" s="40" t="s">
        <v>390</v>
      </c>
      <c r="B13" s="160"/>
      <c r="C13" s="177"/>
      <c r="D13" s="50"/>
      <c r="E13" s="159"/>
      <c r="F13" s="50"/>
      <c r="G13" s="61"/>
      <c r="H13" s="61"/>
      <c r="I13" s="61"/>
      <c r="J13" s="450"/>
      <c r="K13" s="450"/>
    </row>
    <row r="14" spans="1:11" ht="15.75" customHeight="1">
      <c r="A14" s="52" t="s">
        <v>422</v>
      </c>
      <c r="B14" s="50"/>
      <c r="C14" s="177"/>
      <c r="D14" s="50"/>
      <c r="E14" s="50"/>
      <c r="F14" s="50"/>
      <c r="G14" s="61"/>
      <c r="H14" s="61"/>
      <c r="I14" s="61"/>
      <c r="J14" s="450"/>
      <c r="K14" s="450"/>
    </row>
    <row r="15" spans="1:11" ht="12.75">
      <c r="A15" s="40" t="s">
        <v>423</v>
      </c>
      <c r="B15" s="50">
        <f>+'C16A'!B15</f>
        <v>6300</v>
      </c>
      <c r="C15" s="177">
        <f>+B15*(1+E15)</f>
        <v>5670</v>
      </c>
      <c r="D15" s="50"/>
      <c r="E15" s="159">
        <v>-0.1</v>
      </c>
      <c r="F15" s="50"/>
      <c r="G15" s="61">
        <v>-519882892.19199</v>
      </c>
      <c r="H15" s="61">
        <v>-1248731294.104</v>
      </c>
      <c r="I15" s="61"/>
      <c r="J15" s="450">
        <v>0.491599255</v>
      </c>
      <c r="K15" s="450">
        <v>0.0193267</v>
      </c>
    </row>
    <row r="16" spans="1:11" ht="12.75">
      <c r="A16" s="40" t="s">
        <v>398</v>
      </c>
      <c r="B16" s="50">
        <f>+'C16A'!B16</f>
        <v>5300</v>
      </c>
      <c r="C16" s="177">
        <f>+B16*(1+E16)</f>
        <v>4770</v>
      </c>
      <c r="D16" s="118"/>
      <c r="E16" s="451">
        <v>-0.1</v>
      </c>
      <c r="F16" s="118"/>
      <c r="G16" s="61">
        <v>-523227638.2738</v>
      </c>
      <c r="H16" s="61">
        <v>-1252076040.18582</v>
      </c>
      <c r="I16" s="61"/>
      <c r="J16" s="450">
        <v>0.57505</v>
      </c>
      <c r="K16" s="450">
        <v>0.0664</v>
      </c>
    </row>
    <row r="17" spans="1:11" ht="15" customHeight="1">
      <c r="A17" s="52" t="s">
        <v>393</v>
      </c>
      <c r="B17" s="50"/>
      <c r="C17" s="177"/>
      <c r="D17" s="50"/>
      <c r="E17" s="159"/>
      <c r="F17" s="50"/>
      <c r="G17" s="61"/>
      <c r="H17" s="61"/>
      <c r="I17" s="61"/>
      <c r="J17" s="450"/>
      <c r="K17" s="450"/>
    </row>
    <row r="18" spans="1:11" ht="12.75">
      <c r="A18" s="40" t="s">
        <v>399</v>
      </c>
      <c r="B18" s="457">
        <f>+'C16A'!B18</f>
        <v>0.6</v>
      </c>
      <c r="C18" s="502">
        <f>+B18*(1+E18)</f>
        <v>0.555</v>
      </c>
      <c r="D18" s="50"/>
      <c r="E18" s="159">
        <v>-0.075</v>
      </c>
      <c r="F18" s="50"/>
      <c r="G18" s="61">
        <v>-528230009.838878</v>
      </c>
      <c r="H18" s="61">
        <v>-1257078411.75088</v>
      </c>
      <c r="I18" s="61"/>
      <c r="J18" s="450">
        <v>0.6939</v>
      </c>
      <c r="K18" s="450">
        <v>0.13178</v>
      </c>
    </row>
    <row r="19" spans="1:11" ht="12.75">
      <c r="A19" s="40" t="s">
        <v>400</v>
      </c>
      <c r="B19" s="50"/>
      <c r="C19" s="177"/>
      <c r="D19" s="50"/>
      <c r="E19" s="159"/>
      <c r="F19" s="50"/>
      <c r="G19" s="61"/>
      <c r="H19" s="61"/>
      <c r="I19" s="61"/>
      <c r="J19" s="450"/>
      <c r="K19" s="450"/>
    </row>
    <row r="20" spans="1:11" ht="15" customHeight="1">
      <c r="A20" s="52" t="s">
        <v>394</v>
      </c>
      <c r="B20" s="159"/>
      <c r="C20" s="177"/>
      <c r="D20" s="50"/>
      <c r="E20" s="159"/>
      <c r="F20" s="50"/>
      <c r="G20" s="61"/>
      <c r="H20" s="61"/>
      <c r="I20" s="61"/>
      <c r="J20" s="450"/>
      <c r="K20" s="450"/>
    </row>
    <row r="21" spans="1:11" ht="12.75">
      <c r="A21" s="40" t="s">
        <v>401</v>
      </c>
      <c r="B21" s="159"/>
      <c r="C21" s="177"/>
      <c r="D21" s="50"/>
      <c r="E21" s="159"/>
      <c r="F21" s="50"/>
      <c r="G21" s="61"/>
      <c r="H21" s="61"/>
      <c r="I21" s="61"/>
      <c r="J21" s="450"/>
      <c r="K21" s="450"/>
    </row>
    <row r="22" spans="1:11" ht="12.75">
      <c r="A22" s="40" t="s">
        <v>402</v>
      </c>
      <c r="B22" s="159"/>
      <c r="C22" s="177"/>
      <c r="D22" s="50"/>
      <c r="E22" s="159"/>
      <c r="F22" s="50"/>
      <c r="G22" s="61"/>
      <c r="H22" s="61"/>
      <c r="I22" s="61"/>
      <c r="J22" s="450"/>
      <c r="K22" s="450"/>
    </row>
    <row r="23" spans="1:11" ht="15" customHeight="1">
      <c r="A23" s="52" t="s">
        <v>395</v>
      </c>
      <c r="B23" s="452"/>
      <c r="C23" s="177"/>
      <c r="D23" s="50"/>
      <c r="E23" s="159"/>
      <c r="F23" s="50"/>
      <c r="G23" s="61"/>
      <c r="H23" s="61"/>
      <c r="I23" s="61"/>
      <c r="J23" s="450"/>
      <c r="K23" s="450"/>
    </row>
    <row r="24" spans="1:11" ht="12.75">
      <c r="A24" s="40" t="s">
        <v>403</v>
      </c>
      <c r="B24" s="452">
        <f>+'C16A'!B24</f>
        <v>22</v>
      </c>
      <c r="C24" s="177">
        <f>+B24*(1+E24)</f>
        <v>20.0002</v>
      </c>
      <c r="D24" s="50"/>
      <c r="E24" s="159">
        <v>-0.0909</v>
      </c>
      <c r="F24" s="50"/>
      <c r="G24" s="61">
        <v>-535482256.466</v>
      </c>
      <c r="H24" s="61">
        <v>-1264330658.37808</v>
      </c>
      <c r="I24" s="61"/>
      <c r="J24" s="450">
        <v>0.80755</v>
      </c>
      <c r="K24" s="450">
        <v>0.186628</v>
      </c>
    </row>
    <row r="25" spans="1:11" ht="12.75">
      <c r="A25" s="40" t="s">
        <v>404</v>
      </c>
      <c r="B25" s="159"/>
      <c r="C25" s="177"/>
      <c r="D25" s="50"/>
      <c r="E25" s="159"/>
      <c r="F25" s="50"/>
      <c r="G25" s="61"/>
      <c r="H25" s="61"/>
      <c r="I25" s="61"/>
      <c r="J25" s="450"/>
      <c r="K25" s="450"/>
    </row>
    <row r="26" spans="1:11" ht="14.25" customHeight="1">
      <c r="A26" s="52" t="s">
        <v>396</v>
      </c>
      <c r="B26" s="50"/>
      <c r="C26" s="177"/>
      <c r="D26" s="50"/>
      <c r="E26" s="50"/>
      <c r="F26" s="50"/>
      <c r="G26" s="50"/>
      <c r="H26" s="50"/>
      <c r="I26" s="50"/>
      <c r="J26" s="50"/>
      <c r="K26" s="50"/>
    </row>
    <row r="27" spans="1:11" ht="12.75">
      <c r="A27" s="40" t="s">
        <v>407</v>
      </c>
      <c r="B27" s="50"/>
      <c r="C27" s="177"/>
      <c r="D27" s="50"/>
      <c r="E27" s="159"/>
      <c r="F27" s="50"/>
      <c r="G27" s="61"/>
      <c r="H27" s="61"/>
      <c r="I27" s="61"/>
      <c r="J27" s="450"/>
      <c r="K27" s="450"/>
    </row>
    <row r="28" spans="1:11" ht="12.75">
      <c r="A28" s="40" t="s">
        <v>408</v>
      </c>
      <c r="B28" s="159"/>
      <c r="C28" s="177"/>
      <c r="D28" s="50"/>
      <c r="E28" s="159"/>
      <c r="F28" s="50"/>
      <c r="G28" s="61"/>
      <c r="H28" s="61"/>
      <c r="I28" s="61"/>
      <c r="J28" s="450"/>
      <c r="K28" s="450"/>
    </row>
    <row r="29" spans="1:11" ht="15" customHeight="1">
      <c r="A29" s="52" t="s">
        <v>397</v>
      </c>
      <c r="B29" s="50"/>
      <c r="C29" s="177"/>
      <c r="D29" s="50"/>
      <c r="E29" s="50"/>
      <c r="F29" s="16"/>
      <c r="G29" s="61"/>
      <c r="H29" s="61"/>
      <c r="I29" s="61"/>
      <c r="J29" s="450"/>
      <c r="K29" s="450"/>
    </row>
    <row r="30" spans="1:11" ht="12.75">
      <c r="A30" s="40" t="s">
        <v>405</v>
      </c>
      <c r="B30" s="159"/>
      <c r="C30" s="490"/>
      <c r="D30" s="50"/>
      <c r="E30" s="159"/>
      <c r="F30" s="50"/>
      <c r="G30" s="61"/>
      <c r="H30" s="61"/>
      <c r="I30" s="61"/>
      <c r="J30" s="450"/>
      <c r="K30" s="450"/>
    </row>
    <row r="31" spans="1:11" ht="13.5" thickBot="1">
      <c r="A31" s="40" t="s">
        <v>406</v>
      </c>
      <c r="B31" s="432"/>
      <c r="C31" s="460"/>
      <c r="D31" s="50"/>
      <c r="E31" s="454"/>
      <c r="F31" s="50"/>
      <c r="G31" s="234"/>
      <c r="H31" s="234"/>
      <c r="I31" s="61"/>
      <c r="J31" s="455"/>
      <c r="K31" s="455"/>
    </row>
    <row r="32" ht="13.5" thickTop="1"/>
  </sheetData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65" customWidth="1"/>
    <col min="2" max="2" width="21.8515625" style="65" customWidth="1"/>
    <col min="3" max="3" width="0.71875" style="65" customWidth="1"/>
    <col min="4" max="4" width="15.7109375" style="65" bestFit="1" customWidth="1"/>
    <col min="5" max="5" width="16.7109375" style="65" bestFit="1" customWidth="1"/>
    <col min="6" max="6" width="0.71875" style="65" customWidth="1"/>
    <col min="7" max="7" width="15.421875" style="65" bestFit="1" customWidth="1"/>
    <col min="8" max="8" width="15.421875" style="65" customWidth="1"/>
    <col min="9" max="9" width="0.71875" style="65" customWidth="1"/>
    <col min="10" max="10" width="22.8515625" style="65" bestFit="1" customWidth="1"/>
    <col min="11" max="11" width="0.71875" style="65" customWidth="1"/>
    <col min="12" max="12" width="16.7109375" style="65" bestFit="1" customWidth="1"/>
    <col min="13" max="13" width="0.71875" style="65" customWidth="1"/>
    <col min="14" max="14" width="16.7109375" style="65" bestFit="1" customWidth="1"/>
    <col min="15" max="15" width="30.421875" style="65" bestFit="1" customWidth="1"/>
    <col min="16" max="16" width="0.71875" style="65" customWidth="1"/>
    <col min="17" max="17" width="19.7109375" style="65" bestFit="1" customWidth="1"/>
    <col min="18" max="18" width="19.7109375" style="65" customWidth="1"/>
    <col min="19" max="19" width="0.71875" style="65" customWidth="1"/>
    <col min="20" max="20" width="20.8515625" style="65" bestFit="1" customWidth="1"/>
    <col min="21" max="21" width="11.7109375" style="65" customWidth="1"/>
    <col min="22" max="16384" width="11.421875" style="65" customWidth="1"/>
  </cols>
  <sheetData>
    <row r="1" spans="1:4" s="364" customFormat="1" ht="24" customHeight="1">
      <c r="A1" s="361" t="s">
        <v>252</v>
      </c>
      <c r="B1" s="362"/>
      <c r="C1" s="363"/>
      <c r="D1" s="363"/>
    </row>
    <row r="2" spans="1:20" s="364" customFormat="1" ht="24" customHeight="1">
      <c r="A2" s="356" t="s">
        <v>350</v>
      </c>
      <c r="B2" s="365"/>
      <c r="C2" s="365"/>
      <c r="D2" s="365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</row>
    <row r="3" spans="1:20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37.5" customHeight="1">
      <c r="A4" s="491" t="s">
        <v>318</v>
      </c>
      <c r="B4" s="491" t="s">
        <v>12</v>
      </c>
      <c r="C4" s="39"/>
      <c r="D4" s="493" t="s">
        <v>618</v>
      </c>
      <c r="E4" s="493"/>
      <c r="F4" s="82"/>
      <c r="G4" s="359" t="s">
        <v>13</v>
      </c>
      <c r="H4" s="359" t="s">
        <v>14</v>
      </c>
      <c r="I4" s="82"/>
      <c r="J4" s="359" t="s">
        <v>15</v>
      </c>
      <c r="K4" s="82"/>
      <c r="L4" s="116" t="s">
        <v>16</v>
      </c>
      <c r="M4" s="47"/>
      <c r="N4" s="493" t="s">
        <v>17</v>
      </c>
      <c r="O4" s="493"/>
      <c r="P4" s="76"/>
      <c r="Q4" s="116" t="s">
        <v>18</v>
      </c>
      <c r="R4" s="116" t="s">
        <v>19</v>
      </c>
      <c r="S4" s="47"/>
      <c r="T4" s="116" t="s">
        <v>20</v>
      </c>
    </row>
    <row r="5" spans="1:20" ht="15" customHeight="1">
      <c r="A5" s="492"/>
      <c r="B5" s="492"/>
      <c r="C5" s="49"/>
      <c r="D5" s="360" t="s">
        <v>431</v>
      </c>
      <c r="E5" s="360" t="s">
        <v>21</v>
      </c>
      <c r="F5" s="104"/>
      <c r="G5" s="360" t="s">
        <v>21</v>
      </c>
      <c r="H5" s="360" t="s">
        <v>21</v>
      </c>
      <c r="I5" s="104"/>
      <c r="J5" s="360" t="s">
        <v>21</v>
      </c>
      <c r="K5" s="104"/>
      <c r="L5" s="360" t="s">
        <v>21</v>
      </c>
      <c r="M5" s="104"/>
      <c r="N5" s="360" t="s">
        <v>21</v>
      </c>
      <c r="O5" s="360" t="s">
        <v>22</v>
      </c>
      <c r="P5" s="104"/>
      <c r="Q5" s="360" t="s">
        <v>22</v>
      </c>
      <c r="R5" s="360" t="s">
        <v>22</v>
      </c>
      <c r="S5" s="104"/>
      <c r="T5" s="360" t="s">
        <v>22</v>
      </c>
    </row>
    <row r="6" spans="1:20" ht="12.75">
      <c r="A6" s="49">
        <v>3</v>
      </c>
      <c r="B6" s="65" t="s">
        <v>23</v>
      </c>
      <c r="D6" s="253">
        <v>24212</v>
      </c>
      <c r="E6" s="254">
        <f>D6*D35</f>
        <v>21790.8</v>
      </c>
      <c r="F6" s="254"/>
      <c r="G6" s="253">
        <f>E6*N35</f>
        <v>490.29299999999995</v>
      </c>
      <c r="H6" s="253">
        <f>E6*N36</f>
        <v>381.339</v>
      </c>
      <c r="I6" s="253"/>
      <c r="J6" s="253">
        <f>SUM(E6:H6)</f>
        <v>22662.432</v>
      </c>
      <c r="K6" s="253"/>
      <c r="L6" s="253">
        <f>J6*N37</f>
        <v>3965.9256</v>
      </c>
      <c r="M6" s="253"/>
      <c r="N6" s="253">
        <f>J6+L6</f>
        <v>26628.3576</v>
      </c>
      <c r="O6" s="253">
        <f>N6*D36</f>
        <v>19971268.2</v>
      </c>
      <c r="P6" s="253"/>
      <c r="Q6" s="253">
        <f>O6*N38</f>
        <v>499281.705</v>
      </c>
      <c r="R6" s="253">
        <f>O6*N39</f>
        <v>898707.0689999999</v>
      </c>
      <c r="S6" s="253"/>
      <c r="T6" s="253">
        <f>SUM(O6:R6)</f>
        <v>21369256.973999996</v>
      </c>
    </row>
    <row r="7" spans="1:20" ht="12.75">
      <c r="A7" s="49">
        <v>3</v>
      </c>
      <c r="B7" s="65" t="s">
        <v>24</v>
      </c>
      <c r="D7" s="253">
        <v>17432</v>
      </c>
      <c r="E7" s="254">
        <f>D7*D35</f>
        <v>15688.800000000001</v>
      </c>
      <c r="F7" s="254"/>
      <c r="G7" s="253">
        <f>E7*N35</f>
        <v>352.998</v>
      </c>
      <c r="H7" s="253">
        <f>E7*N36</f>
        <v>274.55400000000003</v>
      </c>
      <c r="I7" s="253"/>
      <c r="J7" s="253">
        <f aca="true" t="shared" si="0" ref="J7:J23">SUM(E7:H7)</f>
        <v>16316.352</v>
      </c>
      <c r="K7" s="253"/>
      <c r="L7" s="253">
        <f>J7*N37</f>
        <v>2855.3616</v>
      </c>
      <c r="M7" s="253"/>
      <c r="N7" s="253">
        <f aca="true" t="shared" si="1" ref="N7:N23">J7+L7</f>
        <v>19171.713600000003</v>
      </c>
      <c r="O7" s="253">
        <f>N7*D36</f>
        <v>14378785.200000003</v>
      </c>
      <c r="P7" s="253"/>
      <c r="Q7" s="253">
        <f>O7*N38</f>
        <v>359469.6300000001</v>
      </c>
      <c r="R7" s="253">
        <f>O7*N39</f>
        <v>647045.3340000001</v>
      </c>
      <c r="S7" s="253"/>
      <c r="T7" s="253">
        <f aca="true" t="shared" si="2" ref="T7:T23">SUM(O7:R7)</f>
        <v>15385300.164000005</v>
      </c>
    </row>
    <row r="8" spans="1:21" ht="12" customHeight="1">
      <c r="A8" s="49">
        <v>3</v>
      </c>
      <c r="B8" s="65" t="s">
        <v>25</v>
      </c>
      <c r="D8" s="253">
        <v>7264</v>
      </c>
      <c r="E8" s="254">
        <f>D8*D35</f>
        <v>6537.6</v>
      </c>
      <c r="F8" s="254"/>
      <c r="G8" s="253">
        <f>E8*N35</f>
        <v>147.096</v>
      </c>
      <c r="H8" s="253">
        <f>E8*N36</f>
        <v>114.40800000000002</v>
      </c>
      <c r="I8" s="253"/>
      <c r="J8" s="253">
        <f t="shared" si="0"/>
        <v>6799.104</v>
      </c>
      <c r="K8" s="253"/>
      <c r="L8" s="253">
        <f>J8*N37</f>
        <v>1189.8432</v>
      </c>
      <c r="M8" s="253"/>
      <c r="N8" s="253">
        <f t="shared" si="1"/>
        <v>7988.9472000000005</v>
      </c>
      <c r="O8" s="253">
        <f>N8*D36</f>
        <v>5991710.4</v>
      </c>
      <c r="P8" s="253"/>
      <c r="Q8" s="253">
        <f>O8*N38</f>
        <v>149792.76</v>
      </c>
      <c r="R8" s="253">
        <f>O8*N39</f>
        <v>269626.968</v>
      </c>
      <c r="S8" s="253"/>
      <c r="T8" s="253">
        <f t="shared" si="2"/>
        <v>6411130.1280000005</v>
      </c>
      <c r="U8" s="39"/>
    </row>
    <row r="9" spans="1:20" ht="12.75">
      <c r="A9" s="49">
        <v>4</v>
      </c>
      <c r="B9" s="65" t="s">
        <v>26</v>
      </c>
      <c r="D9" s="253">
        <v>46487</v>
      </c>
      <c r="E9" s="254">
        <f>D9*D35</f>
        <v>41838.3</v>
      </c>
      <c r="F9" s="254"/>
      <c r="G9" s="253">
        <f>E9*N35</f>
        <v>941.36175</v>
      </c>
      <c r="H9" s="253">
        <f>E9*N36</f>
        <v>732.1702500000001</v>
      </c>
      <c r="I9" s="253"/>
      <c r="J9" s="253">
        <f t="shared" si="0"/>
        <v>43511.832</v>
      </c>
      <c r="K9" s="253"/>
      <c r="L9" s="253">
        <f>J9*N37</f>
        <v>7614.5706</v>
      </c>
      <c r="M9" s="253"/>
      <c r="N9" s="253">
        <f t="shared" si="1"/>
        <v>51126.4026</v>
      </c>
      <c r="O9" s="253">
        <f>N9*D36</f>
        <v>38344801.95</v>
      </c>
      <c r="P9" s="253"/>
      <c r="Q9" s="253">
        <f>O9*N38</f>
        <v>958620.0487500001</v>
      </c>
      <c r="R9" s="253">
        <f>O9*N39</f>
        <v>1725516.0877500002</v>
      </c>
      <c r="S9" s="253"/>
      <c r="T9" s="253">
        <f t="shared" si="2"/>
        <v>41028938.086500004</v>
      </c>
    </row>
    <row r="10" spans="1:20" ht="12.75">
      <c r="A10" s="49">
        <v>5</v>
      </c>
      <c r="B10" s="65" t="s">
        <v>27</v>
      </c>
      <c r="D10" s="253">
        <v>111374</v>
      </c>
      <c r="E10" s="254">
        <f>D10*D35</f>
        <v>100236.6</v>
      </c>
      <c r="F10" s="254"/>
      <c r="G10" s="253">
        <f>E10*N35</f>
        <v>2255.3235</v>
      </c>
      <c r="H10" s="253">
        <f>E10*N36</f>
        <v>1754.1405000000002</v>
      </c>
      <c r="I10" s="253"/>
      <c r="J10" s="253">
        <f t="shared" si="0"/>
        <v>104246.064</v>
      </c>
      <c r="K10" s="253"/>
      <c r="L10" s="253">
        <f>J10*N37</f>
        <v>18243.0612</v>
      </c>
      <c r="M10" s="253"/>
      <c r="N10" s="253">
        <f t="shared" si="1"/>
        <v>122489.1252</v>
      </c>
      <c r="O10" s="253">
        <f>N10*D36</f>
        <v>91866843.89999999</v>
      </c>
      <c r="P10" s="253"/>
      <c r="Q10" s="253">
        <f>O10*N38</f>
        <v>2296671.0974999997</v>
      </c>
      <c r="R10" s="253">
        <f>O10*N39</f>
        <v>4134007.9754999992</v>
      </c>
      <c r="S10" s="253"/>
      <c r="T10" s="253">
        <f t="shared" si="2"/>
        <v>98297522.97299999</v>
      </c>
    </row>
    <row r="11" spans="1:20" ht="12.75">
      <c r="A11" s="49">
        <v>5</v>
      </c>
      <c r="B11" s="65" t="s">
        <v>25</v>
      </c>
      <c r="D11" s="253">
        <v>31959</v>
      </c>
      <c r="E11" s="254">
        <f>D11*D35</f>
        <v>28763.100000000002</v>
      </c>
      <c r="F11" s="254"/>
      <c r="G11" s="253">
        <f>E11*N35</f>
        <v>647.16975</v>
      </c>
      <c r="H11" s="253">
        <f>E11*N36</f>
        <v>503.3542500000001</v>
      </c>
      <c r="I11" s="253"/>
      <c r="J11" s="253">
        <f t="shared" si="0"/>
        <v>29913.624000000003</v>
      </c>
      <c r="K11" s="253"/>
      <c r="L11" s="253">
        <f>J11*N37</f>
        <v>5234.8842</v>
      </c>
      <c r="M11" s="253"/>
      <c r="N11" s="253">
        <f t="shared" si="1"/>
        <v>35148.508200000004</v>
      </c>
      <c r="O11" s="253">
        <f>N11*D36</f>
        <v>26361381.150000002</v>
      </c>
      <c r="P11" s="253"/>
      <c r="Q11" s="253">
        <f>O11*N38</f>
        <v>659034.52875</v>
      </c>
      <c r="R11" s="253">
        <f>O11*N39</f>
        <v>1186262.15175</v>
      </c>
      <c r="S11" s="253"/>
      <c r="T11" s="253">
        <f t="shared" si="2"/>
        <v>28206677.8305</v>
      </c>
    </row>
    <row r="12" spans="1:20" ht="12.75">
      <c r="A12" s="49">
        <v>6</v>
      </c>
      <c r="B12" s="65" t="s">
        <v>234</v>
      </c>
      <c r="D12" s="253">
        <v>16948</v>
      </c>
      <c r="E12" s="254">
        <f>D12*D35</f>
        <v>15253.2</v>
      </c>
      <c r="F12" s="254"/>
      <c r="G12" s="253">
        <f>E12*N35</f>
        <v>343.197</v>
      </c>
      <c r="H12" s="253">
        <f>E12*N36</f>
        <v>266.93100000000004</v>
      </c>
      <c r="I12" s="253"/>
      <c r="J12" s="253">
        <f t="shared" si="0"/>
        <v>15863.328000000001</v>
      </c>
      <c r="K12" s="253"/>
      <c r="L12" s="253">
        <f>J12*N37</f>
        <v>2776.0824000000002</v>
      </c>
      <c r="M12" s="253"/>
      <c r="N12" s="253">
        <f t="shared" si="1"/>
        <v>18639.4104</v>
      </c>
      <c r="O12" s="253">
        <f>N12*D36</f>
        <v>13979557.8</v>
      </c>
      <c r="P12" s="253"/>
      <c r="Q12" s="253">
        <f>O12*N38</f>
        <v>349488.94500000007</v>
      </c>
      <c r="R12" s="253">
        <f>O12*N39</f>
        <v>629080.101</v>
      </c>
      <c r="S12" s="253"/>
      <c r="T12" s="253">
        <f t="shared" si="2"/>
        <v>14958126.846</v>
      </c>
    </row>
    <row r="13" spans="1:20" ht="12.75">
      <c r="A13" s="49">
        <v>7</v>
      </c>
      <c r="B13" s="65" t="s">
        <v>235</v>
      </c>
      <c r="D13" s="253">
        <v>50038</v>
      </c>
      <c r="E13" s="254">
        <f>D13*D35</f>
        <v>45034.200000000004</v>
      </c>
      <c r="F13" s="254"/>
      <c r="G13" s="253">
        <f>E13*N35</f>
        <v>1013.2695000000001</v>
      </c>
      <c r="H13" s="253">
        <f>E13*N36</f>
        <v>788.0985000000002</v>
      </c>
      <c r="I13" s="253"/>
      <c r="J13" s="253">
        <f t="shared" si="0"/>
        <v>46835.56800000001</v>
      </c>
      <c r="K13" s="253"/>
      <c r="L13" s="253">
        <f>J13*N37</f>
        <v>8196.224400000001</v>
      </c>
      <c r="M13" s="253"/>
      <c r="N13" s="253">
        <f t="shared" si="1"/>
        <v>55031.792400000006</v>
      </c>
      <c r="O13" s="253">
        <f>N13*D36</f>
        <v>41273844.300000004</v>
      </c>
      <c r="P13" s="253"/>
      <c r="Q13" s="253">
        <f>O13*N38</f>
        <v>1031846.1075000002</v>
      </c>
      <c r="R13" s="253">
        <f>O13*N39</f>
        <v>1857322.9935</v>
      </c>
      <c r="S13" s="253"/>
      <c r="T13" s="253">
        <f t="shared" si="2"/>
        <v>44163013.40100001</v>
      </c>
    </row>
    <row r="14" spans="1:20" ht="12.75">
      <c r="A14" s="49">
        <v>8</v>
      </c>
      <c r="B14" s="65" t="s">
        <v>26</v>
      </c>
      <c r="D14" s="253">
        <v>24211</v>
      </c>
      <c r="E14" s="254">
        <f>D14*D35</f>
        <v>21789.9</v>
      </c>
      <c r="F14" s="254"/>
      <c r="G14" s="253">
        <f>E14*N35</f>
        <v>490.27275000000003</v>
      </c>
      <c r="H14" s="253">
        <f>E14*N36</f>
        <v>381.3232500000001</v>
      </c>
      <c r="I14" s="253"/>
      <c r="J14" s="253">
        <f t="shared" si="0"/>
        <v>22661.496000000003</v>
      </c>
      <c r="K14" s="253"/>
      <c r="L14" s="253">
        <f>J14*N37</f>
        <v>3965.7618</v>
      </c>
      <c r="M14" s="253"/>
      <c r="N14" s="253">
        <f t="shared" si="1"/>
        <v>26627.257800000003</v>
      </c>
      <c r="O14" s="253">
        <f>N14*D36</f>
        <v>19970443.35</v>
      </c>
      <c r="P14" s="253"/>
      <c r="Q14" s="253">
        <f>O14*N38</f>
        <v>499261.08375000005</v>
      </c>
      <c r="R14" s="253">
        <f>O14*N39</f>
        <v>898669.9507500001</v>
      </c>
      <c r="S14" s="253"/>
      <c r="T14" s="253">
        <f t="shared" si="2"/>
        <v>21368374.3845</v>
      </c>
    </row>
    <row r="15" spans="1:20" ht="12.75">
      <c r="A15" s="49">
        <v>9</v>
      </c>
      <c r="B15" s="65" t="s">
        <v>28</v>
      </c>
      <c r="D15" s="253">
        <v>53266</v>
      </c>
      <c r="E15" s="254">
        <f>D15*D35</f>
        <v>47939.4</v>
      </c>
      <c r="F15" s="254"/>
      <c r="G15" s="253">
        <f>E15*N35</f>
        <v>1078.6365</v>
      </c>
      <c r="H15" s="253">
        <f>E15*N36</f>
        <v>838.9395000000001</v>
      </c>
      <c r="I15" s="253"/>
      <c r="J15" s="253">
        <f t="shared" si="0"/>
        <v>49856.976</v>
      </c>
      <c r="K15" s="253"/>
      <c r="L15" s="253">
        <f>J15*N37</f>
        <v>8724.9708</v>
      </c>
      <c r="M15" s="253"/>
      <c r="N15" s="253">
        <f t="shared" si="1"/>
        <v>58581.946800000005</v>
      </c>
      <c r="O15" s="253">
        <f>N15*D36</f>
        <v>43936460.1</v>
      </c>
      <c r="P15" s="253"/>
      <c r="Q15" s="253">
        <f>O15*N38</f>
        <v>1098411.5025000002</v>
      </c>
      <c r="R15" s="253">
        <f>O15*N39</f>
        <v>1977140.7045</v>
      </c>
      <c r="S15" s="253"/>
      <c r="T15" s="253">
        <f t="shared" si="2"/>
        <v>47012012.307</v>
      </c>
    </row>
    <row r="16" spans="1:20" ht="12.75">
      <c r="A16" s="49">
        <v>10</v>
      </c>
      <c r="B16" s="65" t="s">
        <v>26</v>
      </c>
      <c r="D16" s="253">
        <v>39707</v>
      </c>
      <c r="E16" s="254">
        <f>D16*D35</f>
        <v>35736.3</v>
      </c>
      <c r="F16" s="254"/>
      <c r="G16" s="253">
        <f>E16*N35</f>
        <v>804.0667500000001</v>
      </c>
      <c r="H16" s="253">
        <f>E16*N36</f>
        <v>625.3852500000002</v>
      </c>
      <c r="I16" s="253"/>
      <c r="J16" s="253">
        <f t="shared" si="0"/>
        <v>37165.752</v>
      </c>
      <c r="K16" s="253"/>
      <c r="L16" s="253">
        <f>J16*N37</f>
        <v>6504.0066</v>
      </c>
      <c r="M16" s="253"/>
      <c r="N16" s="253">
        <f t="shared" si="1"/>
        <v>43669.7586</v>
      </c>
      <c r="O16" s="253">
        <f>N16*D36</f>
        <v>32752318.95</v>
      </c>
      <c r="P16" s="253"/>
      <c r="Q16" s="253">
        <f>O16*N38</f>
        <v>818807.97375</v>
      </c>
      <c r="R16" s="253">
        <f>O16*N39</f>
        <v>1473854.3527499998</v>
      </c>
      <c r="S16" s="253"/>
      <c r="T16" s="253">
        <f t="shared" si="2"/>
        <v>35044981.2765</v>
      </c>
    </row>
    <row r="17" spans="1:20" ht="12.75">
      <c r="A17" s="49">
        <v>11</v>
      </c>
      <c r="B17" s="65" t="s">
        <v>342</v>
      </c>
      <c r="D17" s="253">
        <v>54234</v>
      </c>
      <c r="E17" s="254">
        <f>D17*D35</f>
        <v>48810.6</v>
      </c>
      <c r="F17" s="254"/>
      <c r="G17" s="253">
        <f>E17*N35</f>
        <v>1098.2385</v>
      </c>
      <c r="H17" s="253">
        <f>E17*N36</f>
        <v>854.1855</v>
      </c>
      <c r="I17" s="253"/>
      <c r="J17" s="253">
        <f t="shared" si="0"/>
        <v>50763.024</v>
      </c>
      <c r="K17" s="253"/>
      <c r="L17" s="253">
        <f>J17*N37</f>
        <v>8883.529199999999</v>
      </c>
      <c r="M17" s="253"/>
      <c r="N17" s="253">
        <f t="shared" si="1"/>
        <v>59646.553199999995</v>
      </c>
      <c r="O17" s="253">
        <f>N17*D36</f>
        <v>44734914.9</v>
      </c>
      <c r="P17" s="253"/>
      <c r="Q17" s="253">
        <f>O17*N38</f>
        <v>1118372.8725</v>
      </c>
      <c r="R17" s="253">
        <f>O17*N39</f>
        <v>2013071.1704999998</v>
      </c>
      <c r="S17" s="253"/>
      <c r="T17" s="253">
        <f t="shared" si="2"/>
        <v>47866358.943</v>
      </c>
    </row>
    <row r="18" spans="1:20" ht="12.75">
      <c r="A18" s="49">
        <v>12</v>
      </c>
      <c r="B18" s="65" t="s">
        <v>26</v>
      </c>
      <c r="D18" s="253">
        <v>30990</v>
      </c>
      <c r="E18" s="254">
        <f>D18*D35</f>
        <v>27891</v>
      </c>
      <c r="F18" s="254"/>
      <c r="G18" s="253">
        <f>E18*N35</f>
        <v>627.5475</v>
      </c>
      <c r="H18" s="253">
        <f>E18*N36</f>
        <v>488.09250000000003</v>
      </c>
      <c r="I18" s="253"/>
      <c r="J18" s="253">
        <f t="shared" si="0"/>
        <v>29006.64</v>
      </c>
      <c r="K18" s="253"/>
      <c r="L18" s="253">
        <f>J18*N37</f>
        <v>5076.161999999999</v>
      </c>
      <c r="M18" s="253"/>
      <c r="N18" s="253">
        <f t="shared" si="1"/>
        <v>34082.801999999996</v>
      </c>
      <c r="O18" s="253">
        <f>N18*D36</f>
        <v>25562101.499999996</v>
      </c>
      <c r="P18" s="253"/>
      <c r="Q18" s="253">
        <f>O18*N38</f>
        <v>639052.5375</v>
      </c>
      <c r="R18" s="253">
        <f>O18*N39</f>
        <v>1150294.5675</v>
      </c>
      <c r="S18" s="253"/>
      <c r="T18" s="253">
        <f t="shared" si="2"/>
        <v>27351448.604999997</v>
      </c>
    </row>
    <row r="19" spans="1:20" ht="12.75">
      <c r="A19" s="49">
        <v>13</v>
      </c>
      <c r="B19" s="65" t="s">
        <v>23</v>
      </c>
      <c r="D19" s="253">
        <v>25180</v>
      </c>
      <c r="E19" s="254">
        <f>D19*D35</f>
        <v>22662</v>
      </c>
      <c r="F19" s="254"/>
      <c r="G19" s="253">
        <f>E19*N35</f>
        <v>509.895</v>
      </c>
      <c r="H19" s="253">
        <f>E19*N36</f>
        <v>396.58500000000004</v>
      </c>
      <c r="I19" s="253"/>
      <c r="J19" s="253">
        <f t="shared" si="0"/>
        <v>23568.48</v>
      </c>
      <c r="K19" s="253"/>
      <c r="L19" s="253">
        <f>J19*N37</f>
        <v>4124.4839999999995</v>
      </c>
      <c r="M19" s="253"/>
      <c r="N19" s="253">
        <f t="shared" si="1"/>
        <v>27692.964</v>
      </c>
      <c r="O19" s="253">
        <f>N19*D36</f>
        <v>20769723</v>
      </c>
      <c r="P19" s="253"/>
      <c r="Q19" s="253">
        <f>O19*N38</f>
        <v>519243.075</v>
      </c>
      <c r="R19" s="253">
        <f>O19*N39</f>
        <v>934637.5349999999</v>
      </c>
      <c r="S19" s="253"/>
      <c r="T19" s="253">
        <f t="shared" si="2"/>
        <v>22223603.61</v>
      </c>
    </row>
    <row r="20" spans="1:20" ht="12.75">
      <c r="A20" s="49">
        <v>13</v>
      </c>
      <c r="B20" s="65" t="s">
        <v>24</v>
      </c>
      <c r="D20" s="253">
        <v>7267</v>
      </c>
      <c r="E20" s="254">
        <f>D20*D35</f>
        <v>6540.3</v>
      </c>
      <c r="F20" s="254"/>
      <c r="G20" s="253">
        <f>E20*N35</f>
        <v>147.15675</v>
      </c>
      <c r="H20" s="253">
        <f>E20*N36</f>
        <v>114.45525000000002</v>
      </c>
      <c r="I20" s="253"/>
      <c r="J20" s="253">
        <f t="shared" si="0"/>
        <v>6801.912</v>
      </c>
      <c r="K20" s="253"/>
      <c r="L20" s="253">
        <f>J20*N37</f>
        <v>1190.3346</v>
      </c>
      <c r="M20" s="253"/>
      <c r="N20" s="253">
        <f t="shared" si="1"/>
        <v>7992.2466</v>
      </c>
      <c r="O20" s="253">
        <f>N20*D36</f>
        <v>5994184.95</v>
      </c>
      <c r="P20" s="253"/>
      <c r="Q20" s="253">
        <f>O20*N38</f>
        <v>149854.62375</v>
      </c>
      <c r="R20" s="253">
        <f>O20*N39</f>
        <v>269738.32275</v>
      </c>
      <c r="S20" s="253"/>
      <c r="T20" s="253">
        <f t="shared" si="2"/>
        <v>6413777.896500001</v>
      </c>
    </row>
    <row r="21" spans="1:20" ht="12.75">
      <c r="A21" s="49">
        <v>14</v>
      </c>
      <c r="B21" s="65" t="s">
        <v>29</v>
      </c>
      <c r="D21" s="253">
        <v>68760</v>
      </c>
      <c r="E21" s="254">
        <f>D21*D35</f>
        <v>61884</v>
      </c>
      <c r="F21" s="254"/>
      <c r="G21" s="253">
        <f>E21*N35</f>
        <v>1392.3899999999999</v>
      </c>
      <c r="H21" s="253">
        <f>E21*N36</f>
        <v>1082.97</v>
      </c>
      <c r="I21" s="253"/>
      <c r="J21" s="253">
        <f t="shared" si="0"/>
        <v>64359.36</v>
      </c>
      <c r="K21" s="253"/>
      <c r="L21" s="253">
        <f>J21*N37</f>
        <v>11262.887999999999</v>
      </c>
      <c r="M21" s="253"/>
      <c r="N21" s="253">
        <f t="shared" si="1"/>
        <v>75622.24799999999</v>
      </c>
      <c r="O21" s="253">
        <f>N21*D36</f>
        <v>56716685.99999999</v>
      </c>
      <c r="P21" s="253"/>
      <c r="Q21" s="253">
        <f>O21*N38</f>
        <v>1417917.15</v>
      </c>
      <c r="R21" s="253">
        <f>O21*N39</f>
        <v>2552250.8699999996</v>
      </c>
      <c r="S21" s="253"/>
      <c r="T21" s="253">
        <f t="shared" si="2"/>
        <v>60686854.01999999</v>
      </c>
    </row>
    <row r="22" spans="1:20" ht="12.75">
      <c r="A22" s="49">
        <v>14</v>
      </c>
      <c r="B22" s="65" t="s">
        <v>25</v>
      </c>
      <c r="D22" s="253">
        <v>9200</v>
      </c>
      <c r="E22" s="254">
        <f>D22*D35</f>
        <v>8280</v>
      </c>
      <c r="F22" s="254"/>
      <c r="G22" s="253">
        <f>E22*N35</f>
        <v>186.29999999999998</v>
      </c>
      <c r="H22" s="253">
        <f>E22*N36</f>
        <v>144.9</v>
      </c>
      <c r="I22" s="253"/>
      <c r="J22" s="253">
        <f t="shared" si="0"/>
        <v>8611.199999999999</v>
      </c>
      <c r="K22" s="253"/>
      <c r="L22" s="253">
        <f>J22*N37</f>
        <v>1506.9599999999998</v>
      </c>
      <c r="M22" s="253"/>
      <c r="N22" s="253">
        <f t="shared" si="1"/>
        <v>10118.159999999998</v>
      </c>
      <c r="O22" s="253">
        <f>N22*D36</f>
        <v>7588619.999999998</v>
      </c>
      <c r="P22" s="253"/>
      <c r="Q22" s="253">
        <f>O22*N38</f>
        <v>189715.49999999997</v>
      </c>
      <c r="R22" s="253">
        <f>O22*N39</f>
        <v>341487.8999999999</v>
      </c>
      <c r="S22" s="253"/>
      <c r="T22" s="253">
        <f t="shared" si="2"/>
        <v>8119823.3999999985</v>
      </c>
    </row>
    <row r="23" spans="1:20" ht="12.75">
      <c r="A23" s="49">
        <v>15</v>
      </c>
      <c r="B23" s="65" t="s">
        <v>26</v>
      </c>
      <c r="D23" s="253">
        <v>23727</v>
      </c>
      <c r="E23" s="254">
        <f>D23*D35</f>
        <v>21354.3</v>
      </c>
      <c r="F23" s="254"/>
      <c r="G23" s="253">
        <f>E23*N35</f>
        <v>480.47175</v>
      </c>
      <c r="H23" s="253">
        <f>E23*N36</f>
        <v>373.70025000000004</v>
      </c>
      <c r="I23" s="253"/>
      <c r="J23" s="253">
        <f t="shared" si="0"/>
        <v>22208.472</v>
      </c>
      <c r="K23" s="253"/>
      <c r="L23" s="253">
        <f>J23*N37</f>
        <v>3886.4826</v>
      </c>
      <c r="M23" s="253"/>
      <c r="N23" s="253">
        <f t="shared" si="1"/>
        <v>26094.9546</v>
      </c>
      <c r="O23" s="253">
        <f>N23*D36</f>
        <v>19571215.95</v>
      </c>
      <c r="P23" s="253"/>
      <c r="Q23" s="253">
        <f>O23*N38</f>
        <v>489280.39875</v>
      </c>
      <c r="R23" s="253">
        <f>O23*N39</f>
        <v>880704.71775</v>
      </c>
      <c r="S23" s="253"/>
      <c r="T23" s="253">
        <f t="shared" si="2"/>
        <v>20941201.0665</v>
      </c>
    </row>
    <row r="24" spans="1:20" ht="18" customHeight="1" thickBot="1">
      <c r="A24" s="49"/>
      <c r="B24" s="53" t="s">
        <v>302</v>
      </c>
      <c r="C24" s="59"/>
      <c r="D24" s="255">
        <f>SUM(D6:D23)</f>
        <v>642256</v>
      </c>
      <c r="E24" s="255">
        <f>SUM(E6:E23)</f>
        <v>578030.4000000001</v>
      </c>
      <c r="F24" s="256"/>
      <c r="G24" s="255">
        <f>SUM(G6:G23)</f>
        <v>13005.684000000001</v>
      </c>
      <c r="H24" s="255">
        <f>SUM(H6:H23)</f>
        <v>10115.532000000001</v>
      </c>
      <c r="I24" s="257"/>
      <c r="J24" s="255">
        <f>SUM(J6:J23)</f>
        <v>601151.6159999999</v>
      </c>
      <c r="K24" s="257"/>
      <c r="L24" s="255">
        <f>SUM(L6:L23)</f>
        <v>105201.53279999999</v>
      </c>
      <c r="M24" s="257"/>
      <c r="N24" s="255">
        <f>SUM(N6:N23)</f>
        <v>706353.1488000002</v>
      </c>
      <c r="O24" s="255">
        <f>SUM(O6:O23)</f>
        <v>529764861.59999996</v>
      </c>
      <c r="P24" s="257"/>
      <c r="Q24" s="255">
        <f>SUM(Q6:Q23)</f>
        <v>13244121.54</v>
      </c>
      <c r="R24" s="255">
        <f>SUM(R6:R23)</f>
        <v>23839418.771999996</v>
      </c>
      <c r="S24" s="258"/>
      <c r="T24" s="255">
        <f>SUM(T6:T23)</f>
        <v>566848401.912</v>
      </c>
    </row>
    <row r="25" spans="1:20" ht="12.75" customHeight="1" thickTop="1">
      <c r="A25" s="49">
        <v>1</v>
      </c>
      <c r="B25" s="65" t="s">
        <v>300</v>
      </c>
      <c r="D25" s="253"/>
      <c r="E25" s="254"/>
      <c r="F25" s="254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9"/>
      <c r="T25" s="253">
        <v>91500000</v>
      </c>
    </row>
    <row r="26" spans="1:20" ht="12.75">
      <c r="A26" s="49">
        <v>2</v>
      </c>
      <c r="B26" s="65" t="s">
        <v>301</v>
      </c>
      <c r="D26" s="253"/>
      <c r="E26" s="254"/>
      <c r="F26" s="254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9"/>
      <c r="T26" s="253">
        <v>70500000</v>
      </c>
    </row>
    <row r="27" spans="1:20" ht="12.75">
      <c r="A27" s="49">
        <v>16</v>
      </c>
      <c r="B27" s="65" t="s">
        <v>236</v>
      </c>
      <c r="D27" s="253"/>
      <c r="E27" s="254"/>
      <c r="F27" s="254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9"/>
      <c r="T27" s="253">
        <v>22450000</v>
      </c>
    </row>
    <row r="28" spans="1:20" ht="12.75">
      <c r="A28" s="49">
        <v>17</v>
      </c>
      <c r="B28" s="65" t="s">
        <v>237</v>
      </c>
      <c r="D28" s="253"/>
      <c r="E28" s="254"/>
      <c r="F28" s="254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9"/>
      <c r="T28" s="253">
        <v>5300000</v>
      </c>
    </row>
    <row r="29" spans="1:20" ht="12.75">
      <c r="A29" s="49">
        <v>18</v>
      </c>
      <c r="B29" s="65" t="s">
        <v>324</v>
      </c>
      <c r="D29" s="253"/>
      <c r="E29" s="254"/>
      <c r="F29" s="25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9"/>
      <c r="T29" s="253">
        <v>3750000</v>
      </c>
    </row>
    <row r="30" spans="2:20" ht="18" customHeight="1" thickBot="1">
      <c r="B30" s="52" t="s">
        <v>303</v>
      </c>
      <c r="C30" s="59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5">
        <f>SUM(T25:T29)</f>
        <v>193500000</v>
      </c>
    </row>
    <row r="31" spans="2:20" ht="18" customHeight="1" thickBot="1" thickTop="1">
      <c r="B31" s="52" t="s">
        <v>351</v>
      </c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9"/>
      <c r="T31" s="260">
        <f>T24+T30</f>
        <v>760348401.912</v>
      </c>
    </row>
    <row r="32" ht="13.5" thickTop="1"/>
    <row r="33" spans="2:14" ht="15">
      <c r="B33" s="367" t="s">
        <v>447</v>
      </c>
      <c r="N33" s="200"/>
    </row>
    <row r="34" spans="2:14" ht="12.75">
      <c r="B34" s="364" t="s">
        <v>469</v>
      </c>
      <c r="D34" s="200"/>
      <c r="J34" s="65" t="s">
        <v>619</v>
      </c>
      <c r="N34" s="200"/>
    </row>
    <row r="35" spans="2:15" ht="12.75">
      <c r="B35" s="368" t="s">
        <v>470</v>
      </c>
      <c r="D35" s="475">
        <v>0.9</v>
      </c>
      <c r="E35" s="364" t="s">
        <v>472</v>
      </c>
      <c r="J35" s="364" t="s">
        <v>473</v>
      </c>
      <c r="N35" s="369">
        <v>0.0225</v>
      </c>
      <c r="O35" s="364" t="s">
        <v>477</v>
      </c>
    </row>
    <row r="36" spans="2:15" ht="12.75">
      <c r="B36" s="368" t="s">
        <v>471</v>
      </c>
      <c r="D36" s="476">
        <v>750</v>
      </c>
      <c r="E36" s="364" t="s">
        <v>479</v>
      </c>
      <c r="J36" s="364" t="s">
        <v>474</v>
      </c>
      <c r="N36" s="369">
        <v>0.0175</v>
      </c>
      <c r="O36" s="364" t="s">
        <v>477</v>
      </c>
    </row>
    <row r="37" spans="4:15" ht="12.75">
      <c r="D37" s="200"/>
      <c r="E37" s="364"/>
      <c r="J37" s="364" t="s">
        <v>480</v>
      </c>
      <c r="N37" s="369">
        <v>0.175</v>
      </c>
      <c r="O37" s="364" t="s">
        <v>478</v>
      </c>
    </row>
    <row r="38" spans="4:15" ht="12.75">
      <c r="D38" s="200"/>
      <c r="J38" s="364" t="s">
        <v>475</v>
      </c>
      <c r="N38" s="369">
        <v>0.025</v>
      </c>
      <c r="O38" s="364" t="s">
        <v>481</v>
      </c>
    </row>
    <row r="39" spans="10:15" ht="12.75">
      <c r="J39" s="364" t="s">
        <v>476</v>
      </c>
      <c r="N39" s="369">
        <v>0.045</v>
      </c>
      <c r="O39" s="364" t="s">
        <v>481</v>
      </c>
    </row>
    <row r="40" spans="10:14" ht="12.75">
      <c r="J40" s="364"/>
      <c r="N40" s="200"/>
    </row>
    <row r="41" ht="12.75">
      <c r="N41" s="200"/>
    </row>
  </sheetData>
  <mergeCells count="4">
    <mergeCell ref="A4:A5"/>
    <mergeCell ref="B4:B5"/>
    <mergeCell ref="N4:O4"/>
    <mergeCell ref="D4:E4"/>
  </mergeCells>
  <printOptions horizontalCentered="1" verticalCentered="1"/>
  <pageMargins left="0.75" right="0.1968503937007874" top="1" bottom="1" header="0" footer="0"/>
  <pageSetup horizontalDpi="300" verticalDpi="300" orientation="landscape" paperSize="9" scale="90" r:id="rId1"/>
  <ignoredErrors>
    <ignoredError sqref="H7 L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11.421875" defaultRowHeight="12.75"/>
  <cols>
    <col min="1" max="1" width="33.421875" style="40" bestFit="1" customWidth="1"/>
    <col min="2" max="2" width="9.00390625" style="40" bestFit="1" customWidth="1"/>
    <col min="3" max="3" width="0.42578125" style="40" customWidth="1"/>
    <col min="4" max="4" width="9.421875" style="40" bestFit="1" customWidth="1"/>
    <col min="5" max="5" width="13.57421875" style="40" customWidth="1"/>
    <col min="6" max="6" width="0.42578125" style="40" customWidth="1"/>
    <col min="7" max="7" width="13.00390625" style="40" customWidth="1"/>
    <col min="8" max="9" width="11.140625" style="40" customWidth="1"/>
    <col min="10" max="10" width="12.7109375" style="40" customWidth="1"/>
    <col min="11" max="16384" width="11.421875" style="40" customWidth="1"/>
  </cols>
  <sheetData>
    <row r="1" spans="1:7" s="354" customFormat="1" ht="24" customHeight="1">
      <c r="A1" s="352" t="s">
        <v>267</v>
      </c>
      <c r="B1" s="370"/>
      <c r="C1" s="371"/>
      <c r="D1" s="372"/>
      <c r="E1" s="372"/>
      <c r="F1" s="372"/>
      <c r="G1" s="373"/>
    </row>
    <row r="2" spans="1:7" s="354" customFormat="1" ht="24" customHeight="1">
      <c r="A2" s="355" t="s">
        <v>266</v>
      </c>
      <c r="B2" s="355"/>
      <c r="C2" s="365"/>
      <c r="D2" s="374"/>
      <c r="E2" s="374"/>
      <c r="F2" s="374"/>
      <c r="G2" s="375"/>
    </row>
    <row r="3" spans="1:7" ht="12.75" customHeight="1">
      <c r="A3" s="52"/>
      <c r="B3" s="53"/>
      <c r="C3" s="53"/>
      <c r="D3" s="68"/>
      <c r="E3" s="68"/>
      <c r="F3" s="68"/>
      <c r="G3" s="69"/>
    </row>
    <row r="4" spans="1:7" ht="37.5" customHeight="1">
      <c r="A4" s="52"/>
      <c r="B4" s="46" t="s">
        <v>257</v>
      </c>
      <c r="C4" s="47"/>
      <c r="D4" s="46" t="s">
        <v>383</v>
      </c>
      <c r="E4" s="46" t="s">
        <v>281</v>
      </c>
      <c r="F4" s="47"/>
      <c r="G4" s="46" t="s">
        <v>271</v>
      </c>
    </row>
    <row r="5" spans="1:7" ht="16.5" customHeight="1">
      <c r="A5" s="52" t="s">
        <v>245</v>
      </c>
      <c r="B5" s="49"/>
      <c r="C5" s="49"/>
      <c r="D5" s="50"/>
      <c r="E5" s="22"/>
      <c r="F5" s="21"/>
      <c r="G5" s="22"/>
    </row>
    <row r="6" spans="1:7" ht="12.75">
      <c r="A6" s="40" t="s">
        <v>247</v>
      </c>
      <c r="B6" s="51"/>
      <c r="C6" s="51"/>
      <c r="D6" s="50">
        <v>1</v>
      </c>
      <c r="E6" s="261">
        <v>2500000</v>
      </c>
      <c r="F6" s="262"/>
      <c r="G6" s="261">
        <f>D6*E6</f>
        <v>2500000</v>
      </c>
    </row>
    <row r="7" spans="1:7" ht="12.75">
      <c r="A7" s="40" t="s">
        <v>246</v>
      </c>
      <c r="B7" s="51"/>
      <c r="C7" s="51"/>
      <c r="D7" s="50">
        <v>1</v>
      </c>
      <c r="E7" s="261">
        <v>14500000</v>
      </c>
      <c r="F7" s="262"/>
      <c r="G7" s="261">
        <f>D7*E7</f>
        <v>14500000</v>
      </c>
    </row>
    <row r="8" spans="1:7" ht="18" customHeight="1" thickBot="1">
      <c r="A8" s="52" t="s">
        <v>310</v>
      </c>
      <c r="B8" s="53"/>
      <c r="C8" s="53"/>
      <c r="D8" s="77"/>
      <c r="E8" s="263"/>
      <c r="F8" s="262"/>
      <c r="G8" s="255">
        <f>SUM(G6:G7)</f>
        <v>17000000</v>
      </c>
    </row>
    <row r="9" spans="1:7" ht="18" customHeight="1" thickBot="1" thickTop="1">
      <c r="A9" s="52" t="s">
        <v>311</v>
      </c>
      <c r="B9" s="51"/>
      <c r="C9" s="51"/>
      <c r="D9" s="78">
        <v>1</v>
      </c>
      <c r="E9" s="264">
        <v>9500000</v>
      </c>
      <c r="F9" s="257"/>
      <c r="G9" s="260">
        <f>D9*E9</f>
        <v>9500000</v>
      </c>
    </row>
    <row r="10" ht="13.5" thickTop="1">
      <c r="F10" s="62"/>
    </row>
    <row r="11" ht="12.75">
      <c r="F11" s="62"/>
    </row>
    <row r="12" ht="12.75">
      <c r="F12" s="62"/>
    </row>
    <row r="13" ht="12.75">
      <c r="F13" s="62"/>
    </row>
    <row r="14" ht="12.75">
      <c r="F14" s="62"/>
    </row>
    <row r="15" ht="12.75">
      <c r="F15" s="62"/>
    </row>
    <row r="16" ht="12.75">
      <c r="F16" s="62"/>
    </row>
    <row r="17" ht="12.75">
      <c r="F17" s="62"/>
    </row>
    <row r="18" ht="12.75">
      <c r="F18" s="62"/>
    </row>
    <row r="19" ht="12.75">
      <c r="F19" s="62"/>
    </row>
  </sheetData>
  <printOptions horizontalCentered="1" verticalCentered="1"/>
  <pageMargins left="0.75" right="0.75" top="1" bottom="1" header="0" footer="0"/>
  <pageSetup horizontalDpi="200" verticalDpi="200" orientation="portrait" paperSize="9" r:id="rId1"/>
  <ignoredErrors>
    <ignoredError sqref="G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40" customWidth="1"/>
    <col min="2" max="2" width="25.7109375" style="40" bestFit="1" customWidth="1"/>
    <col min="3" max="3" width="13.421875" style="40" customWidth="1"/>
    <col min="4" max="4" width="14.57421875" style="40" customWidth="1"/>
    <col min="5" max="5" width="13.140625" style="40" customWidth="1"/>
    <col min="6" max="6" width="0.71875" style="40" customWidth="1"/>
    <col min="7" max="7" width="13.00390625" style="40" customWidth="1"/>
    <col min="8" max="8" width="14.8515625" style="40" customWidth="1"/>
    <col min="9" max="9" width="12.57421875" style="40" customWidth="1"/>
    <col min="10" max="10" width="0.85546875" style="40" customWidth="1"/>
    <col min="11" max="11" width="14.28125" style="40" customWidth="1"/>
    <col min="12" max="12" width="13.8515625" style="40" customWidth="1"/>
    <col min="13" max="13" width="14.8515625" style="40" customWidth="1"/>
    <col min="14" max="16384" width="11.421875" style="40" customWidth="1"/>
  </cols>
  <sheetData>
    <row r="1" spans="1:4" s="377" customFormat="1" ht="24" customHeight="1">
      <c r="A1" s="352" t="s">
        <v>30</v>
      </c>
      <c r="B1" s="376"/>
      <c r="C1" s="376"/>
      <c r="D1" s="376"/>
    </row>
    <row r="2" spans="1:13" s="377" customFormat="1" ht="24" customHeight="1">
      <c r="A2" s="376"/>
      <c r="B2" s="355" t="s">
        <v>175</v>
      </c>
      <c r="C2" s="355"/>
      <c r="D2" s="355"/>
      <c r="E2" s="378"/>
      <c r="F2" s="378"/>
      <c r="G2" s="378"/>
      <c r="H2" s="378"/>
      <c r="I2" s="378"/>
      <c r="J2" s="378"/>
      <c r="K2" s="378"/>
      <c r="L2" s="378"/>
      <c r="M2" s="378"/>
    </row>
    <row r="3" spans="2:13" ht="12.7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8" customHeight="1">
      <c r="B4" s="48"/>
      <c r="C4" s="79" t="s">
        <v>31</v>
      </c>
      <c r="D4" s="80"/>
      <c r="E4" s="80"/>
      <c r="F4" s="72"/>
      <c r="G4" s="79" t="s">
        <v>32</v>
      </c>
      <c r="H4" s="80"/>
      <c r="I4" s="80"/>
      <c r="J4" s="72"/>
      <c r="K4" s="79" t="s">
        <v>175</v>
      </c>
      <c r="L4" s="80"/>
      <c r="M4" s="80"/>
    </row>
    <row r="5" spans="2:13" ht="37.5" customHeight="1">
      <c r="B5" s="48"/>
      <c r="C5" s="81" t="s">
        <v>33</v>
      </c>
      <c r="D5" s="81" t="s">
        <v>384</v>
      </c>
      <c r="E5" s="46" t="s">
        <v>34</v>
      </c>
      <c r="F5" s="82"/>
      <c r="G5" s="81" t="s">
        <v>33</v>
      </c>
      <c r="H5" s="81" t="s">
        <v>384</v>
      </c>
      <c r="I5" s="81" t="s">
        <v>233</v>
      </c>
      <c r="J5" s="82"/>
      <c r="K5" s="81" t="s">
        <v>33</v>
      </c>
      <c r="L5" s="81" t="s">
        <v>384</v>
      </c>
      <c r="M5" s="81" t="s">
        <v>279</v>
      </c>
    </row>
    <row r="6" spans="2:13" ht="12.75">
      <c r="B6" s="48" t="s">
        <v>35</v>
      </c>
      <c r="C6" s="261"/>
      <c r="D6" s="261"/>
      <c r="E6" s="261"/>
      <c r="F6" s="261"/>
      <c r="G6" s="261"/>
      <c r="H6" s="261"/>
      <c r="I6" s="261"/>
      <c r="J6" s="262"/>
      <c r="K6" s="261"/>
      <c r="L6" s="261"/>
      <c r="M6" s="261"/>
    </row>
    <row r="7" spans="2:13" ht="12.75">
      <c r="B7" s="40" t="s">
        <v>36</v>
      </c>
      <c r="C7" s="261">
        <f>'C2A'!G11</f>
        <v>49000000</v>
      </c>
      <c r="D7" s="261"/>
      <c r="E7" s="261">
        <f aca="true" t="shared" si="0" ref="E7:E13">C7+D7</f>
        <v>49000000</v>
      </c>
      <c r="F7" s="261"/>
      <c r="G7" s="261"/>
      <c r="H7" s="261"/>
      <c r="I7" s="261">
        <f aca="true" t="shared" si="1" ref="I7:I13">G7+H7</f>
        <v>0</v>
      </c>
      <c r="J7" s="262"/>
      <c r="K7" s="261">
        <f aca="true" t="shared" si="2" ref="K7:L13">C7+G7</f>
        <v>49000000</v>
      </c>
      <c r="L7" s="261">
        <f t="shared" si="2"/>
        <v>0</v>
      </c>
      <c r="M7" s="261">
        <f aca="true" t="shared" si="3" ref="M7:M13">K7+L7</f>
        <v>49000000</v>
      </c>
    </row>
    <row r="8" spans="2:13" ht="12.75">
      <c r="B8" s="40" t="s">
        <v>298</v>
      </c>
      <c r="C8" s="261">
        <f>'C2A'!G18</f>
        <v>74250000</v>
      </c>
      <c r="D8" s="261"/>
      <c r="E8" s="261">
        <f t="shared" si="0"/>
        <v>74250000</v>
      </c>
      <c r="F8" s="261"/>
      <c r="G8" s="261"/>
      <c r="H8" s="261"/>
      <c r="I8" s="261">
        <f t="shared" si="1"/>
        <v>0</v>
      </c>
      <c r="J8" s="262"/>
      <c r="K8" s="261">
        <f t="shared" si="2"/>
        <v>74250000</v>
      </c>
      <c r="L8" s="261">
        <f t="shared" si="2"/>
        <v>0</v>
      </c>
      <c r="M8" s="261">
        <f t="shared" si="3"/>
        <v>74250000</v>
      </c>
    </row>
    <row r="9" spans="1:13" ht="12.75">
      <c r="A9" s="48"/>
      <c r="B9" s="40" t="s">
        <v>254</v>
      </c>
      <c r="C9" s="261">
        <f>'C2A'!G23</f>
        <v>25750000</v>
      </c>
      <c r="D9" s="261"/>
      <c r="E9" s="261">
        <f t="shared" si="0"/>
        <v>25750000</v>
      </c>
      <c r="F9" s="261"/>
      <c r="G9" s="261"/>
      <c r="H9" s="261"/>
      <c r="I9" s="261">
        <f t="shared" si="1"/>
        <v>0</v>
      </c>
      <c r="J9" s="261"/>
      <c r="K9" s="261">
        <f t="shared" si="2"/>
        <v>25750000</v>
      </c>
      <c r="L9" s="261">
        <f t="shared" si="2"/>
        <v>0</v>
      </c>
      <c r="M9" s="261">
        <f t="shared" si="3"/>
        <v>25750000</v>
      </c>
    </row>
    <row r="10" spans="1:13" ht="12.75">
      <c r="A10" s="48"/>
      <c r="B10" s="40" t="s">
        <v>55</v>
      </c>
      <c r="C10" s="261"/>
      <c r="D10" s="261"/>
      <c r="E10" s="261">
        <f t="shared" si="0"/>
        <v>0</v>
      </c>
      <c r="F10" s="261"/>
      <c r="G10" s="261">
        <f>'C2A'!G32</f>
        <v>28500000</v>
      </c>
      <c r="H10" s="261"/>
      <c r="I10" s="261">
        <f t="shared" si="1"/>
        <v>28500000</v>
      </c>
      <c r="J10" s="261"/>
      <c r="K10" s="261">
        <f t="shared" si="2"/>
        <v>28500000</v>
      </c>
      <c r="L10" s="261">
        <f t="shared" si="2"/>
        <v>0</v>
      </c>
      <c r="M10" s="261">
        <f t="shared" si="3"/>
        <v>28500000</v>
      </c>
    </row>
    <row r="11" spans="1:13" ht="12.75">
      <c r="A11" s="48"/>
      <c r="B11" s="40" t="s">
        <v>487</v>
      </c>
      <c r="C11" s="261"/>
      <c r="D11" s="261">
        <f>'C2B'!T24</f>
        <v>566848401.912</v>
      </c>
      <c r="E11" s="261">
        <f t="shared" si="0"/>
        <v>566848401.912</v>
      </c>
      <c r="F11" s="261"/>
      <c r="G11" s="261"/>
      <c r="H11" s="261"/>
      <c r="I11" s="261">
        <f t="shared" si="1"/>
        <v>0</v>
      </c>
      <c r="J11" s="262"/>
      <c r="K11" s="261">
        <f t="shared" si="2"/>
        <v>0</v>
      </c>
      <c r="L11" s="261">
        <f t="shared" si="2"/>
        <v>566848401.912</v>
      </c>
      <c r="M11" s="261">
        <f t="shared" si="3"/>
        <v>566848401.912</v>
      </c>
    </row>
    <row r="12" spans="1:13" ht="12.75">
      <c r="A12" s="48"/>
      <c r="B12" s="40" t="s">
        <v>488</v>
      </c>
      <c r="C12" s="261">
        <f>SUM('C2B'!T27:T29)</f>
        <v>31500000</v>
      </c>
      <c r="D12" s="261"/>
      <c r="E12" s="261">
        <f t="shared" si="0"/>
        <v>31500000</v>
      </c>
      <c r="F12" s="261"/>
      <c r="G12" s="261"/>
      <c r="H12" s="261">
        <f>'C2B'!T25+'C2B'!T26</f>
        <v>162000000</v>
      </c>
      <c r="I12" s="261">
        <f t="shared" si="1"/>
        <v>162000000</v>
      </c>
      <c r="J12" s="262"/>
      <c r="K12" s="261">
        <f t="shared" si="2"/>
        <v>31500000</v>
      </c>
      <c r="L12" s="261">
        <f t="shared" si="2"/>
        <v>162000000</v>
      </c>
      <c r="M12" s="261">
        <f t="shared" si="3"/>
        <v>193500000</v>
      </c>
    </row>
    <row r="13" spans="1:13" ht="12.75">
      <c r="A13" s="48"/>
      <c r="B13" s="40" t="s">
        <v>255</v>
      </c>
      <c r="C13" s="265"/>
      <c r="D13" s="261"/>
      <c r="E13" s="261">
        <f t="shared" si="0"/>
        <v>0</v>
      </c>
      <c r="F13" s="261"/>
      <c r="G13" s="265">
        <f>'C2A'!G33</f>
        <v>6500000</v>
      </c>
      <c r="H13" s="261"/>
      <c r="I13" s="261">
        <f t="shared" si="1"/>
        <v>6500000</v>
      </c>
      <c r="J13" s="262"/>
      <c r="K13" s="261">
        <f t="shared" si="2"/>
        <v>6500000</v>
      </c>
      <c r="L13" s="261">
        <f t="shared" si="2"/>
        <v>0</v>
      </c>
      <c r="M13" s="261">
        <f t="shared" si="3"/>
        <v>6500000</v>
      </c>
    </row>
    <row r="14" spans="1:13" ht="18" customHeight="1" thickBot="1">
      <c r="A14" s="53" t="s">
        <v>37</v>
      </c>
      <c r="B14" s="52" t="s">
        <v>38</v>
      </c>
      <c r="C14" s="255">
        <f>SUM(C7:C13)</f>
        <v>180500000</v>
      </c>
      <c r="D14" s="255">
        <f>SUM(D7:D13)</f>
        <v>566848401.912</v>
      </c>
      <c r="E14" s="255">
        <f>SUM(E7:E13)</f>
        <v>747348401.912</v>
      </c>
      <c r="F14" s="258"/>
      <c r="G14" s="255">
        <f>SUM(G7:G13)</f>
        <v>35000000</v>
      </c>
      <c r="H14" s="255">
        <f>SUM(H7:H13)</f>
        <v>162000000</v>
      </c>
      <c r="I14" s="255">
        <f>SUM(I7:I13)</f>
        <v>197000000</v>
      </c>
      <c r="J14" s="258"/>
      <c r="K14" s="255">
        <f>SUM(K7:K13)</f>
        <v>215500000</v>
      </c>
      <c r="L14" s="255">
        <f>SUM(L7:L13)</f>
        <v>728848401.912</v>
      </c>
      <c r="M14" s="255">
        <f>SUM(M7:M13)</f>
        <v>944348401.912</v>
      </c>
    </row>
    <row r="15" spans="1:13" ht="13.5" thickTop="1">
      <c r="A15" s="53"/>
      <c r="B15" s="48" t="s">
        <v>39</v>
      </c>
      <c r="C15" s="261"/>
      <c r="D15" s="261"/>
      <c r="E15" s="261"/>
      <c r="F15" s="261"/>
      <c r="G15" s="261"/>
      <c r="H15" s="261"/>
      <c r="I15" s="261"/>
      <c r="J15" s="262"/>
      <c r="K15" s="261"/>
      <c r="L15" s="261"/>
      <c r="M15" s="261"/>
    </row>
    <row r="16" spans="1:13" ht="12.75">
      <c r="A16" s="53"/>
      <c r="B16" s="40" t="s">
        <v>275</v>
      </c>
      <c r="C16" s="261">
        <f>'C5'!J11</f>
        <v>161127549.38872716</v>
      </c>
      <c r="D16" s="261"/>
      <c r="E16" s="261">
        <f aca="true" t="shared" si="4" ref="E16:E21">C16+D16</f>
        <v>161127549.38872716</v>
      </c>
      <c r="F16" s="261"/>
      <c r="G16" s="261"/>
      <c r="H16" s="261"/>
      <c r="I16" s="261">
        <f aca="true" t="shared" si="5" ref="I16:I21">G16+H16</f>
        <v>0</v>
      </c>
      <c r="J16" s="262"/>
      <c r="K16" s="261">
        <f aca="true" t="shared" si="6" ref="K16:L21">C16+G16</f>
        <v>161127549.38872716</v>
      </c>
      <c r="L16" s="261">
        <f t="shared" si="6"/>
        <v>0</v>
      </c>
      <c r="M16" s="261">
        <f aca="true" t="shared" si="7" ref="M16:M21">K16+L16</f>
        <v>161127549.38872716</v>
      </c>
    </row>
    <row r="17" spans="1:13" ht="12.75">
      <c r="A17" s="53"/>
      <c r="B17" s="40" t="s">
        <v>40</v>
      </c>
      <c r="C17" s="261">
        <f>'C2C'!G8</f>
        <v>17000000</v>
      </c>
      <c r="D17" s="261"/>
      <c r="E17" s="261">
        <f t="shared" si="4"/>
        <v>17000000</v>
      </c>
      <c r="F17" s="261"/>
      <c r="G17" s="261"/>
      <c r="H17" s="261"/>
      <c r="I17" s="261">
        <f t="shared" si="5"/>
        <v>0</v>
      </c>
      <c r="J17" s="262"/>
      <c r="K17" s="261">
        <f t="shared" si="6"/>
        <v>17000000</v>
      </c>
      <c r="L17" s="261">
        <f t="shared" si="6"/>
        <v>0</v>
      </c>
      <c r="M17" s="261">
        <f t="shared" si="7"/>
        <v>17000000</v>
      </c>
    </row>
    <row r="18" spans="1:13" ht="12.75">
      <c r="A18" s="53"/>
      <c r="B18" s="40" t="s">
        <v>41</v>
      </c>
      <c r="C18" s="261">
        <f>'C2C'!G9</f>
        <v>9500000</v>
      </c>
      <c r="D18" s="261"/>
      <c r="E18" s="261">
        <f t="shared" si="4"/>
        <v>9500000</v>
      </c>
      <c r="F18" s="261"/>
      <c r="G18" s="261"/>
      <c r="H18" s="261"/>
      <c r="I18" s="261">
        <f t="shared" si="5"/>
        <v>0</v>
      </c>
      <c r="J18" s="262"/>
      <c r="K18" s="261">
        <f t="shared" si="6"/>
        <v>9500000</v>
      </c>
      <c r="L18" s="261">
        <f t="shared" si="6"/>
        <v>0</v>
      </c>
      <c r="M18" s="261">
        <f t="shared" si="7"/>
        <v>9500000</v>
      </c>
    </row>
    <row r="19" spans="1:13" ht="12.75">
      <c r="A19" s="53"/>
      <c r="B19" s="40" t="s">
        <v>58</v>
      </c>
      <c r="C19" s="261">
        <f>E11*D30</f>
        <v>11336968.038239999</v>
      </c>
      <c r="D19" s="261"/>
      <c r="E19" s="261">
        <f t="shared" si="4"/>
        <v>11336968.038239999</v>
      </c>
      <c r="F19" s="261"/>
      <c r="G19" s="261"/>
      <c r="H19" s="261"/>
      <c r="I19" s="261">
        <f t="shared" si="5"/>
        <v>0</v>
      </c>
      <c r="J19" s="262"/>
      <c r="K19" s="261">
        <f t="shared" si="6"/>
        <v>11336968.038239999</v>
      </c>
      <c r="L19" s="261">
        <f t="shared" si="6"/>
        <v>0</v>
      </c>
      <c r="M19" s="261">
        <f t="shared" si="7"/>
        <v>11336968.038239999</v>
      </c>
    </row>
    <row r="20" spans="1:13" ht="12.75">
      <c r="A20" s="53"/>
      <c r="B20" s="40" t="s">
        <v>59</v>
      </c>
      <c r="C20" s="261">
        <f>'C7'!E28/D29*D31</f>
        <v>4039200</v>
      </c>
      <c r="D20" s="261"/>
      <c r="E20" s="261">
        <f t="shared" si="4"/>
        <v>4039200</v>
      </c>
      <c r="F20" s="261"/>
      <c r="G20" s="261"/>
      <c r="H20" s="261"/>
      <c r="I20" s="261">
        <f t="shared" si="5"/>
        <v>0</v>
      </c>
      <c r="J20" s="262"/>
      <c r="K20" s="261">
        <f t="shared" si="6"/>
        <v>4039200</v>
      </c>
      <c r="L20" s="261">
        <f t="shared" si="6"/>
        <v>0</v>
      </c>
      <c r="M20" s="261">
        <f t="shared" si="7"/>
        <v>4039200</v>
      </c>
    </row>
    <row r="21" spans="1:13" ht="12.75">
      <c r="A21" s="53"/>
      <c r="B21" s="40" t="s">
        <v>42</v>
      </c>
      <c r="C21" s="261">
        <f>E14*D32</f>
        <v>18683710.0478</v>
      </c>
      <c r="D21" s="261"/>
      <c r="E21" s="261">
        <f t="shared" si="4"/>
        <v>18683710.0478</v>
      </c>
      <c r="F21" s="261"/>
      <c r="G21" s="261">
        <f>I14*D32</f>
        <v>4925000</v>
      </c>
      <c r="H21" s="261"/>
      <c r="I21" s="261">
        <f t="shared" si="5"/>
        <v>4925000</v>
      </c>
      <c r="J21" s="262"/>
      <c r="K21" s="261">
        <f t="shared" si="6"/>
        <v>23608710.0478</v>
      </c>
      <c r="L21" s="261">
        <f t="shared" si="6"/>
        <v>0</v>
      </c>
      <c r="M21" s="261">
        <f t="shared" si="7"/>
        <v>23608710.0478</v>
      </c>
    </row>
    <row r="22" spans="1:13" ht="18" customHeight="1" thickBot="1">
      <c r="A22" s="53" t="s">
        <v>43</v>
      </c>
      <c r="B22" s="52" t="s">
        <v>44</v>
      </c>
      <c r="C22" s="255">
        <f>SUM(C16:C21)</f>
        <v>221687427.47476715</v>
      </c>
      <c r="D22" s="255">
        <f>SUM(D16:D21)</f>
        <v>0</v>
      </c>
      <c r="E22" s="255">
        <f>SUM(E16:E21)</f>
        <v>221687427.47476715</v>
      </c>
      <c r="F22" s="257"/>
      <c r="G22" s="255">
        <f>SUM(G16:G21)</f>
        <v>4925000</v>
      </c>
      <c r="H22" s="255">
        <f>SUM(H16:H21)</f>
        <v>0</v>
      </c>
      <c r="I22" s="255">
        <f>SUM(I16:I21)</f>
        <v>4925000</v>
      </c>
      <c r="J22" s="258"/>
      <c r="K22" s="255">
        <f>SUM(K16:K21)</f>
        <v>226612427.47476715</v>
      </c>
      <c r="L22" s="255">
        <f>SUM(L16:L21)</f>
        <v>0</v>
      </c>
      <c r="M22" s="255">
        <f>SUM(M16:M21)</f>
        <v>226612427.47476715</v>
      </c>
    </row>
    <row r="23" spans="1:13" ht="18" customHeight="1" thickBot="1" thickTop="1">
      <c r="A23" s="53" t="s">
        <v>45</v>
      </c>
      <c r="B23" s="52" t="s">
        <v>46</v>
      </c>
      <c r="C23" s="266">
        <f>C14+C22</f>
        <v>402187427.47476715</v>
      </c>
      <c r="D23" s="266">
        <f>D14+D22</f>
        <v>566848401.912</v>
      </c>
      <c r="E23" s="267">
        <f>C23+D23</f>
        <v>969035829.3867671</v>
      </c>
      <c r="F23" s="258"/>
      <c r="G23" s="266">
        <f>G14+G22</f>
        <v>39925000</v>
      </c>
      <c r="H23" s="266">
        <f>H14+H22</f>
        <v>162000000</v>
      </c>
      <c r="I23" s="266">
        <f>I14+I22</f>
        <v>201925000</v>
      </c>
      <c r="J23" s="258"/>
      <c r="K23" s="266">
        <f>K14+K22</f>
        <v>442112427.47476715</v>
      </c>
      <c r="L23" s="266">
        <f>L14+L22</f>
        <v>728848401.912</v>
      </c>
      <c r="M23" s="266">
        <f>M14+M22</f>
        <v>1170960829.3867671</v>
      </c>
    </row>
    <row r="24" spans="1:13" ht="18" customHeight="1" thickBot="1" thickTop="1">
      <c r="A24" s="53" t="s">
        <v>47</v>
      </c>
      <c r="B24" s="83" t="s">
        <v>48</v>
      </c>
      <c r="C24" s="433"/>
      <c r="D24" s="260"/>
      <c r="E24" s="268"/>
      <c r="F24" s="258"/>
      <c r="G24" s="433">
        <f>'C13'!B32</f>
        <v>102892491.16091082</v>
      </c>
      <c r="H24" s="260"/>
      <c r="I24" s="260">
        <f>G24+H24</f>
        <v>102892491.16091082</v>
      </c>
      <c r="J24" s="258"/>
      <c r="K24" s="260">
        <f>C24+G24</f>
        <v>102892491.16091082</v>
      </c>
      <c r="L24" s="260">
        <f>D24+H24</f>
        <v>0</v>
      </c>
      <c r="M24" s="260">
        <f>K24+L24</f>
        <v>102892491.16091082</v>
      </c>
    </row>
    <row r="25" spans="1:13" ht="18" customHeight="1" thickBot="1" thickTop="1">
      <c r="A25" s="53" t="s">
        <v>49</v>
      </c>
      <c r="B25" s="83" t="s">
        <v>489</v>
      </c>
      <c r="C25" s="266">
        <f>C23+C24</f>
        <v>402187427.47476715</v>
      </c>
      <c r="D25" s="266">
        <f>D23+D24</f>
        <v>566848401.912</v>
      </c>
      <c r="E25" s="266">
        <f>E23+E24</f>
        <v>969035829.3867671</v>
      </c>
      <c r="F25" s="258"/>
      <c r="G25" s="266">
        <f>G23+G24</f>
        <v>142817491.16091082</v>
      </c>
      <c r="H25" s="266">
        <f>H23+H24</f>
        <v>162000000</v>
      </c>
      <c r="I25" s="266">
        <f>I23+I24</f>
        <v>304817491.16091084</v>
      </c>
      <c r="J25" s="258"/>
      <c r="K25" s="266">
        <f>K23+K24</f>
        <v>545004918.6356779</v>
      </c>
      <c r="L25" s="266">
        <f>L23+L24</f>
        <v>728848401.912</v>
      </c>
      <c r="M25" s="266">
        <f>M23+M24</f>
        <v>1273853320.547678</v>
      </c>
    </row>
    <row r="26" spans="1:13" ht="17.25" customHeight="1" thickTop="1">
      <c r="A26" s="53" t="s">
        <v>71</v>
      </c>
      <c r="B26" s="83" t="s">
        <v>180</v>
      </c>
      <c r="C26" s="84">
        <f>C25/E25</f>
        <v>0.415038758401</v>
      </c>
      <c r="D26" s="84">
        <f>D25/E25</f>
        <v>0.5849612415989999</v>
      </c>
      <c r="E26" s="84">
        <f>E25/M25</f>
        <v>0.7607122529383067</v>
      </c>
      <c r="F26" s="84"/>
      <c r="G26" s="84">
        <f>G25/I25</f>
        <v>0.4685344355305337</v>
      </c>
      <c r="H26" s="84">
        <f>H25/I25</f>
        <v>0.5314655644694661</v>
      </c>
      <c r="I26" s="84">
        <f>I25/M25</f>
        <v>0.23928774706169326</v>
      </c>
      <c r="J26" s="85"/>
      <c r="K26" s="84">
        <f>K25/M25</f>
        <v>0.42783961845886587</v>
      </c>
      <c r="L26" s="84">
        <f>L25/M25</f>
        <v>0.572160381541134</v>
      </c>
      <c r="M26" s="84">
        <f>M25/M25</f>
        <v>1</v>
      </c>
    </row>
    <row r="28" ht="15">
      <c r="B28" s="379" t="s">
        <v>447</v>
      </c>
    </row>
    <row r="29" spans="2:5" ht="12.75">
      <c r="B29" s="354" t="s">
        <v>468</v>
      </c>
      <c r="D29" s="50">
        <v>12</v>
      </c>
      <c r="E29" s="354" t="s">
        <v>483</v>
      </c>
    </row>
    <row r="30" spans="2:5" ht="12.75">
      <c r="B30" s="354" t="s">
        <v>486</v>
      </c>
      <c r="D30" s="269">
        <v>0.02</v>
      </c>
      <c r="E30" s="354" t="s">
        <v>484</v>
      </c>
    </row>
    <row r="31" spans="2:5" ht="12.75">
      <c r="B31" s="354" t="s">
        <v>485</v>
      </c>
      <c r="D31" s="270">
        <v>0.5</v>
      </c>
      <c r="E31" s="354" t="s">
        <v>607</v>
      </c>
    </row>
    <row r="32" spans="2:5" ht="12.75">
      <c r="B32" s="354" t="s">
        <v>482</v>
      </c>
      <c r="D32" s="269">
        <v>0.025</v>
      </c>
      <c r="E32" s="354" t="s">
        <v>606</v>
      </c>
    </row>
    <row r="33" spans="2:4" ht="12.75">
      <c r="B33" s="354"/>
      <c r="D33" s="86"/>
    </row>
  </sheetData>
  <printOptions horizontalCentered="1" verticalCentered="1"/>
  <pageMargins left="0.75" right="0.75" top="1" bottom="1" header="0" footer="0"/>
  <pageSetup horizontalDpi="300" verticalDpi="300" orientation="landscape" paperSize="9" scale="95" r:id="rId1"/>
  <ignoredErrors>
    <ignoredError sqref="G13" unlockedFormula="1"/>
    <ignoredError sqref="C12" formulaRange="1"/>
    <ignoredError sqref="E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8.7109375" defaultRowHeight="12.75"/>
  <cols>
    <col min="1" max="1" width="34.421875" style="91" customWidth="1"/>
    <col min="2" max="2" width="18.421875" style="40" customWidth="1"/>
    <col min="3" max="3" width="0.42578125" style="40" customWidth="1"/>
    <col min="4" max="4" width="0.2890625" style="40" customWidth="1"/>
    <col min="5" max="5" width="8.28125" style="40" bestFit="1" customWidth="1"/>
    <col min="6" max="6" width="0.42578125" style="89" customWidth="1"/>
    <col min="7" max="7" width="11.00390625" style="89" bestFit="1" customWidth="1"/>
    <col min="8" max="8" width="13.00390625" style="89" customWidth="1"/>
    <col min="9" max="9" width="13.140625" style="89" customWidth="1"/>
    <col min="10" max="10" width="12.421875" style="89" customWidth="1"/>
    <col min="11" max="11" width="13.421875" style="89" customWidth="1"/>
    <col min="12" max="12" width="12.421875" style="40" customWidth="1"/>
    <col min="13" max="16384" width="8.7109375" style="40" customWidth="1"/>
  </cols>
  <sheetData>
    <row r="1" spans="1:11" s="377" customFormat="1" ht="24" customHeight="1">
      <c r="A1" s="352" t="s">
        <v>50</v>
      </c>
      <c r="F1" s="381"/>
      <c r="G1" s="381"/>
      <c r="H1" s="381"/>
      <c r="I1" s="381"/>
      <c r="J1" s="381"/>
      <c r="K1" s="381"/>
    </row>
    <row r="2" spans="1:11" s="377" customFormat="1" ht="24" customHeight="1">
      <c r="A2" s="355" t="s">
        <v>352</v>
      </c>
      <c r="B2" s="382"/>
      <c r="C2" s="383"/>
      <c r="D2" s="382"/>
      <c r="E2" s="383"/>
      <c r="F2" s="384"/>
      <c r="G2" s="384"/>
      <c r="H2" s="384"/>
      <c r="I2" s="384"/>
      <c r="J2" s="384"/>
      <c r="K2" s="384"/>
    </row>
    <row r="3" spans="3:11" ht="12.75">
      <c r="C3" s="92"/>
      <c r="E3" s="62"/>
      <c r="K3" s="40"/>
    </row>
    <row r="4" spans="1:12" ht="37.5" customHeight="1">
      <c r="A4" s="93"/>
      <c r="B4" s="46" t="s">
        <v>272</v>
      </c>
      <c r="C4" s="94"/>
      <c r="E4" s="46" t="s">
        <v>51</v>
      </c>
      <c r="G4" s="46" t="s">
        <v>3</v>
      </c>
      <c r="H4" s="46" t="s">
        <v>4</v>
      </c>
      <c r="I4" s="46" t="s">
        <v>52</v>
      </c>
      <c r="J4" s="46" t="s">
        <v>53</v>
      </c>
      <c r="K4" s="46" t="s">
        <v>90</v>
      </c>
      <c r="L4" s="46" t="s">
        <v>54</v>
      </c>
    </row>
    <row r="5" spans="1:12" ht="12.75">
      <c r="A5" s="95" t="s">
        <v>353</v>
      </c>
      <c r="B5" s="22"/>
      <c r="C5" s="96"/>
      <c r="D5" s="66"/>
      <c r="E5" s="97"/>
      <c r="H5" s="98"/>
      <c r="I5" s="98"/>
      <c r="J5" s="99"/>
      <c r="K5" s="50"/>
      <c r="L5" s="50"/>
    </row>
    <row r="6" spans="1:12" ht="12.75">
      <c r="A6" s="40" t="s">
        <v>36</v>
      </c>
      <c r="B6" s="261">
        <f>'C3'!M7</f>
        <v>49000000</v>
      </c>
      <c r="C6" s="62"/>
      <c r="D6" s="51"/>
      <c r="E6" s="100">
        <v>5</v>
      </c>
      <c r="F6" s="40"/>
      <c r="G6" s="101"/>
      <c r="H6" s="272">
        <f>B6/E6</f>
        <v>9800000</v>
      </c>
      <c r="I6" s="272">
        <f aca="true" t="shared" si="0" ref="I6:L8">H6</f>
        <v>9800000</v>
      </c>
      <c r="J6" s="272">
        <f t="shared" si="0"/>
        <v>9800000</v>
      </c>
      <c r="K6" s="272">
        <f t="shared" si="0"/>
        <v>9800000</v>
      </c>
      <c r="L6" s="272">
        <f t="shared" si="0"/>
        <v>9800000</v>
      </c>
    </row>
    <row r="7" spans="1:12" ht="12.75">
      <c r="A7" s="40" t="s">
        <v>298</v>
      </c>
      <c r="B7" s="261">
        <f>'C3'!M8</f>
        <v>74250000</v>
      </c>
      <c r="C7" s="62"/>
      <c r="D7" s="51"/>
      <c r="E7" s="100">
        <v>5</v>
      </c>
      <c r="F7" s="40"/>
      <c r="G7" s="101"/>
      <c r="H7" s="272">
        <f aca="true" t="shared" si="1" ref="H7:H12">B7/E7</f>
        <v>14850000</v>
      </c>
      <c r="I7" s="272">
        <f t="shared" si="0"/>
        <v>14850000</v>
      </c>
      <c r="J7" s="272">
        <f t="shared" si="0"/>
        <v>14850000</v>
      </c>
      <c r="K7" s="272">
        <f t="shared" si="0"/>
        <v>14850000</v>
      </c>
      <c r="L7" s="272">
        <f t="shared" si="0"/>
        <v>14850000</v>
      </c>
    </row>
    <row r="8" spans="1:13" ht="12.75" customHeight="1">
      <c r="A8" s="40" t="s">
        <v>254</v>
      </c>
      <c r="B8" s="261">
        <f>'C3'!M9</f>
        <v>25750000</v>
      </c>
      <c r="C8" s="62"/>
      <c r="D8" s="51"/>
      <c r="E8" s="100">
        <v>5</v>
      </c>
      <c r="F8" s="40"/>
      <c r="G8" s="101"/>
      <c r="H8" s="272">
        <f t="shared" si="1"/>
        <v>5150000</v>
      </c>
      <c r="I8" s="272">
        <f t="shared" si="0"/>
        <v>5150000</v>
      </c>
      <c r="J8" s="272">
        <f t="shared" si="0"/>
        <v>5150000</v>
      </c>
      <c r="K8" s="272">
        <f t="shared" si="0"/>
        <v>5150000</v>
      </c>
      <c r="L8" s="272">
        <f t="shared" si="0"/>
        <v>5150000</v>
      </c>
      <c r="M8" s="62"/>
    </row>
    <row r="9" spans="1:12" ht="12.75">
      <c r="A9" s="40" t="s">
        <v>55</v>
      </c>
      <c r="B9" s="261">
        <f>'C3'!M10</f>
        <v>28500000</v>
      </c>
      <c r="C9" s="62"/>
      <c r="D9" s="51"/>
      <c r="E9" s="100">
        <v>3</v>
      </c>
      <c r="F9" s="40"/>
      <c r="G9" s="101"/>
      <c r="H9" s="272">
        <f t="shared" si="1"/>
        <v>9500000</v>
      </c>
      <c r="I9" s="272">
        <f aca="true" t="shared" si="2" ref="I9:J12">H9</f>
        <v>9500000</v>
      </c>
      <c r="J9" s="272">
        <f t="shared" si="2"/>
        <v>9500000</v>
      </c>
      <c r="K9" s="272"/>
      <c r="L9" s="273"/>
    </row>
    <row r="10" spans="1:12" ht="12.75">
      <c r="A10" s="40" t="s">
        <v>487</v>
      </c>
      <c r="B10" s="261">
        <f>'C3'!M11</f>
        <v>566848401.912</v>
      </c>
      <c r="C10" s="62"/>
      <c r="D10" s="51"/>
      <c r="E10" s="100">
        <v>7</v>
      </c>
      <c r="F10" s="40"/>
      <c r="G10" s="101"/>
      <c r="H10" s="272">
        <f t="shared" si="1"/>
        <v>80978343.13028571</v>
      </c>
      <c r="I10" s="272">
        <f t="shared" si="2"/>
        <v>80978343.13028571</v>
      </c>
      <c r="J10" s="272">
        <f t="shared" si="2"/>
        <v>80978343.13028571</v>
      </c>
      <c r="K10" s="272">
        <f aca="true" t="shared" si="3" ref="K10:L12">J10</f>
        <v>80978343.13028571</v>
      </c>
      <c r="L10" s="272">
        <f t="shared" si="3"/>
        <v>80978343.13028571</v>
      </c>
    </row>
    <row r="11" spans="1:12" ht="12.75">
      <c r="A11" s="40" t="s">
        <v>488</v>
      </c>
      <c r="B11" s="261">
        <f>'C3'!M12</f>
        <v>193500000</v>
      </c>
      <c r="C11" s="62"/>
      <c r="D11" s="51"/>
      <c r="E11" s="100">
        <v>7</v>
      </c>
      <c r="F11" s="40"/>
      <c r="G11" s="101"/>
      <c r="H11" s="272">
        <f t="shared" si="1"/>
        <v>27642857.14285714</v>
      </c>
      <c r="I11" s="272">
        <f t="shared" si="2"/>
        <v>27642857.14285714</v>
      </c>
      <c r="J11" s="272">
        <f t="shared" si="2"/>
        <v>27642857.14285714</v>
      </c>
      <c r="K11" s="272">
        <f t="shared" si="3"/>
        <v>27642857.14285714</v>
      </c>
      <c r="L11" s="272">
        <f t="shared" si="3"/>
        <v>27642857.14285714</v>
      </c>
    </row>
    <row r="12" spans="1:12" ht="12.75">
      <c r="A12" s="40" t="s">
        <v>280</v>
      </c>
      <c r="B12" s="261">
        <f>'C3'!M13</f>
        <v>6500000</v>
      </c>
      <c r="C12" s="62"/>
      <c r="D12" s="51"/>
      <c r="E12" s="100">
        <v>5</v>
      </c>
      <c r="G12" s="102"/>
      <c r="H12" s="274">
        <f t="shared" si="1"/>
        <v>1300000</v>
      </c>
      <c r="I12" s="274">
        <f t="shared" si="2"/>
        <v>1300000</v>
      </c>
      <c r="J12" s="274">
        <f t="shared" si="2"/>
        <v>1300000</v>
      </c>
      <c r="K12" s="274">
        <f t="shared" si="3"/>
        <v>1300000</v>
      </c>
      <c r="L12" s="274">
        <f t="shared" si="3"/>
        <v>1300000</v>
      </c>
    </row>
    <row r="13" spans="1:12" ht="18" customHeight="1" thickBot="1">
      <c r="A13" s="103" t="s">
        <v>56</v>
      </c>
      <c r="B13" s="271">
        <f>SUM(B6:B12)</f>
        <v>944348401.912</v>
      </c>
      <c r="C13" s="68"/>
      <c r="D13" s="104"/>
      <c r="E13" s="105"/>
      <c r="G13" s="106"/>
      <c r="H13" s="275">
        <f>SUM(H6:H12)</f>
        <v>149221200.27314284</v>
      </c>
      <c r="I13" s="275">
        <f>SUM(I6:I12)</f>
        <v>149221200.27314284</v>
      </c>
      <c r="J13" s="275">
        <f>SUM(J6:J12)</f>
        <v>149221200.27314284</v>
      </c>
      <c r="K13" s="275">
        <f>SUM(K6:K12)</f>
        <v>139721200.27314284</v>
      </c>
      <c r="L13" s="276">
        <f>SUM(L6:L12)</f>
        <v>139721200.27314284</v>
      </c>
    </row>
    <row r="14" spans="1:13" ht="13.5" thickTop="1">
      <c r="A14" s="107" t="s">
        <v>57</v>
      </c>
      <c r="B14" s="261"/>
      <c r="C14" s="62"/>
      <c r="D14" s="51"/>
      <c r="E14" s="100"/>
      <c r="G14" s="108"/>
      <c r="H14" s="272"/>
      <c r="I14" s="273"/>
      <c r="J14" s="273"/>
      <c r="K14" s="272"/>
      <c r="L14" s="273"/>
      <c r="M14" s="109"/>
    </row>
    <row r="15" spans="1:13" ht="12.75">
      <c r="A15" s="65" t="s">
        <v>275</v>
      </c>
      <c r="B15" s="261">
        <f>'C3'!M16</f>
        <v>161127549.38872716</v>
      </c>
      <c r="C15" s="62"/>
      <c r="D15" s="51"/>
      <c r="E15" s="100">
        <v>5</v>
      </c>
      <c r="G15" s="108"/>
      <c r="H15" s="272">
        <f aca="true" t="shared" si="4" ref="H15:H20">B15/E15</f>
        <v>32225509.87774543</v>
      </c>
      <c r="I15" s="272">
        <f aca="true" t="shared" si="5" ref="I15:L17">H15</f>
        <v>32225509.87774543</v>
      </c>
      <c r="J15" s="273">
        <f t="shared" si="5"/>
        <v>32225509.87774543</v>
      </c>
      <c r="K15" s="273">
        <f t="shared" si="5"/>
        <v>32225509.87774543</v>
      </c>
      <c r="L15" s="273">
        <f t="shared" si="5"/>
        <v>32225509.87774543</v>
      </c>
      <c r="M15" s="89"/>
    </row>
    <row r="16" spans="1:12" ht="12.75">
      <c r="A16" s="91" t="s">
        <v>40</v>
      </c>
      <c r="B16" s="261">
        <f>'C3'!M17</f>
        <v>17000000</v>
      </c>
      <c r="C16" s="62"/>
      <c r="D16" s="51"/>
      <c r="E16" s="100">
        <v>5</v>
      </c>
      <c r="G16" s="108"/>
      <c r="H16" s="272">
        <f t="shared" si="4"/>
        <v>3400000</v>
      </c>
      <c r="I16" s="272">
        <f t="shared" si="5"/>
        <v>3400000</v>
      </c>
      <c r="J16" s="273">
        <f t="shared" si="5"/>
        <v>3400000</v>
      </c>
      <c r="K16" s="273">
        <f t="shared" si="5"/>
        <v>3400000</v>
      </c>
      <c r="L16" s="273">
        <f t="shared" si="5"/>
        <v>3400000</v>
      </c>
    </row>
    <row r="17" spans="1:12" ht="12.75">
      <c r="A17" s="91" t="s">
        <v>41</v>
      </c>
      <c r="B17" s="261">
        <f>'C3'!M18</f>
        <v>9500000</v>
      </c>
      <c r="C17" s="62"/>
      <c r="D17" s="51"/>
      <c r="E17" s="100">
        <v>5</v>
      </c>
      <c r="G17" s="108"/>
      <c r="H17" s="272">
        <f t="shared" si="4"/>
        <v>1900000</v>
      </c>
      <c r="I17" s="272">
        <f t="shared" si="5"/>
        <v>1900000</v>
      </c>
      <c r="J17" s="273">
        <f t="shared" si="5"/>
        <v>1900000</v>
      </c>
      <c r="K17" s="273">
        <f t="shared" si="5"/>
        <v>1900000</v>
      </c>
      <c r="L17" s="273">
        <f t="shared" si="5"/>
        <v>1900000</v>
      </c>
    </row>
    <row r="18" spans="1:12" ht="12.75">
      <c r="A18" s="40" t="s">
        <v>58</v>
      </c>
      <c r="B18" s="261">
        <f>'C3'!M19</f>
        <v>11336968.038239999</v>
      </c>
      <c r="C18" s="62"/>
      <c r="D18" s="51"/>
      <c r="E18" s="100">
        <v>3</v>
      </c>
      <c r="G18" s="108"/>
      <c r="H18" s="272">
        <f t="shared" si="4"/>
        <v>3778989.3460799996</v>
      </c>
      <c r="I18" s="272">
        <f aca="true" t="shared" si="6" ref="I18:J20">H18</f>
        <v>3778989.3460799996</v>
      </c>
      <c r="J18" s="272">
        <f t="shared" si="6"/>
        <v>3778989.3460799996</v>
      </c>
      <c r="K18" s="272"/>
      <c r="L18" s="272"/>
    </row>
    <row r="19" spans="1:14" ht="12.75">
      <c r="A19" s="40" t="s">
        <v>59</v>
      </c>
      <c r="B19" s="261">
        <f>'C3'!M20</f>
        <v>4039200</v>
      </c>
      <c r="C19" s="62"/>
      <c r="D19" s="51"/>
      <c r="E19" s="100">
        <v>3</v>
      </c>
      <c r="G19" s="108"/>
      <c r="H19" s="272">
        <f t="shared" si="4"/>
        <v>1346400</v>
      </c>
      <c r="I19" s="272">
        <f t="shared" si="6"/>
        <v>1346400</v>
      </c>
      <c r="J19" s="272">
        <f t="shared" si="6"/>
        <v>1346400</v>
      </c>
      <c r="K19" s="272"/>
      <c r="L19" s="272"/>
      <c r="M19" s="109"/>
      <c r="N19" s="62"/>
    </row>
    <row r="20" spans="1:14" ht="12.75">
      <c r="A20" s="40" t="s">
        <v>42</v>
      </c>
      <c r="B20" s="261">
        <f>'C3'!M21</f>
        <v>23608710.0478</v>
      </c>
      <c r="C20" s="62"/>
      <c r="D20" s="51"/>
      <c r="E20" s="100">
        <v>3</v>
      </c>
      <c r="G20" s="110"/>
      <c r="H20" s="274">
        <f t="shared" si="4"/>
        <v>7869570.015933334</v>
      </c>
      <c r="I20" s="274">
        <f t="shared" si="6"/>
        <v>7869570.015933334</v>
      </c>
      <c r="J20" s="274">
        <f t="shared" si="6"/>
        <v>7869570.015933334</v>
      </c>
      <c r="K20" s="274"/>
      <c r="L20" s="274"/>
      <c r="M20" s="277"/>
      <c r="N20" s="62"/>
    </row>
    <row r="21" spans="1:12" ht="18" customHeight="1" thickBot="1">
      <c r="A21" s="103" t="s">
        <v>60</v>
      </c>
      <c r="B21" s="271">
        <f>SUM(B15:B20)</f>
        <v>226612427.47476715</v>
      </c>
      <c r="C21" s="68"/>
      <c r="D21" s="69"/>
      <c r="E21" s="69"/>
      <c r="G21" s="106"/>
      <c r="H21" s="275">
        <f>SUM(H15:H20)</f>
        <v>50520469.23975877</v>
      </c>
      <c r="I21" s="275">
        <f>SUM(I15:I20)</f>
        <v>50520469.23975877</v>
      </c>
      <c r="J21" s="275">
        <f>SUM(J15:J20)</f>
        <v>50520469.23975877</v>
      </c>
      <c r="K21" s="275">
        <f>SUM(K15:K20)</f>
        <v>37525509.877745435</v>
      </c>
      <c r="L21" s="275">
        <f>SUM(L15:L20)</f>
        <v>37525509.877745435</v>
      </c>
    </row>
    <row r="22" spans="1:12" ht="18" customHeight="1" thickBot="1" thickTop="1">
      <c r="A22" s="52" t="s">
        <v>354</v>
      </c>
      <c r="B22" s="266">
        <f>B13+B21</f>
        <v>1170960829.3867671</v>
      </c>
      <c r="C22" s="68"/>
      <c r="D22" s="59"/>
      <c r="E22" s="68"/>
      <c r="G22" s="111"/>
      <c r="H22" s="276">
        <f>H13+H21</f>
        <v>199741669.5129016</v>
      </c>
      <c r="I22" s="276">
        <f>I13+I21</f>
        <v>199741669.5129016</v>
      </c>
      <c r="J22" s="276">
        <f>J13+J21</f>
        <v>199741669.5129016</v>
      </c>
      <c r="K22" s="276">
        <f>K13+K21</f>
        <v>177246710.15088826</v>
      </c>
      <c r="L22" s="276">
        <f>L13+L21</f>
        <v>177246710.15088826</v>
      </c>
    </row>
    <row r="23" spans="1:13" ht="13.5" thickTop="1">
      <c r="A23" s="62"/>
      <c r="C23" s="62"/>
      <c r="E23" s="62"/>
      <c r="L23" s="89"/>
      <c r="M23" s="89"/>
    </row>
    <row r="24" spans="1:8" ht="12.75">
      <c r="A24" s="380" t="s">
        <v>447</v>
      </c>
      <c r="C24" s="62"/>
      <c r="E24" s="62"/>
      <c r="H24" s="112"/>
    </row>
    <row r="25" spans="1:5" ht="12.75">
      <c r="A25" s="364" t="s">
        <v>490</v>
      </c>
      <c r="C25" s="62"/>
      <c r="E25" s="62"/>
    </row>
    <row r="26" spans="3:5" ht="12.75">
      <c r="C26" s="62"/>
      <c r="E26" s="62"/>
    </row>
    <row r="27" spans="3:5" ht="12.75">
      <c r="C27" s="62"/>
      <c r="E27" s="62"/>
    </row>
    <row r="28" spans="3:5" ht="12.75">
      <c r="C28" s="62"/>
      <c r="E28" s="62"/>
    </row>
    <row r="29" spans="3:5" ht="12.75">
      <c r="C29" s="62"/>
      <c r="E29" s="62"/>
    </row>
    <row r="30" spans="1:9" ht="12.75">
      <c r="A30" s="113"/>
      <c r="B30" s="113"/>
      <c r="C30" s="114"/>
      <c r="D30" s="113"/>
      <c r="E30" s="113"/>
      <c r="F30" s="115"/>
      <c r="G30" s="115"/>
      <c r="H30" s="115"/>
      <c r="I30" s="115"/>
    </row>
    <row r="31" spans="1:9" ht="12.75">
      <c r="A31" s="113"/>
      <c r="B31" s="113"/>
      <c r="C31" s="114"/>
      <c r="D31" s="113"/>
      <c r="E31" s="113"/>
      <c r="F31" s="115"/>
      <c r="G31" s="115"/>
      <c r="H31" s="115"/>
      <c r="I31" s="115"/>
    </row>
    <row r="32" spans="1:14" ht="12.75">
      <c r="A32" s="113"/>
      <c r="B32" s="113"/>
      <c r="C32" s="114"/>
      <c r="D32" s="113"/>
      <c r="E32" s="113"/>
      <c r="F32" s="115"/>
      <c r="G32" s="115"/>
      <c r="H32" s="115"/>
      <c r="I32" s="115"/>
      <c r="J32" s="115"/>
      <c r="K32" s="115"/>
      <c r="L32" s="113"/>
      <c r="M32" s="113"/>
      <c r="N32" s="113"/>
    </row>
    <row r="33" ht="12.75">
      <c r="C33" s="62"/>
    </row>
    <row r="34" ht="12.75">
      <c r="C34" s="62"/>
    </row>
    <row r="35" ht="12.75">
      <c r="C35" s="62"/>
    </row>
    <row r="36" ht="12.75">
      <c r="C36" s="62"/>
    </row>
    <row r="37" ht="12.75">
      <c r="C37" s="62"/>
    </row>
    <row r="38" ht="12.75">
      <c r="C38" s="62"/>
    </row>
    <row r="39" ht="12.75">
      <c r="C39" s="62"/>
    </row>
    <row r="40" ht="12.75">
      <c r="C40" s="62"/>
    </row>
    <row r="41" ht="12.75">
      <c r="C41" s="62"/>
    </row>
    <row r="42" ht="12.75">
      <c r="C42" s="62"/>
    </row>
  </sheetData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40" customWidth="1"/>
    <col min="2" max="2" width="10.57421875" style="40" customWidth="1"/>
    <col min="3" max="3" width="15.28125" style="40" customWidth="1"/>
    <col min="4" max="4" width="0.71875" style="40" customWidth="1"/>
    <col min="5" max="6" width="14.00390625" style="40" customWidth="1"/>
    <col min="7" max="7" width="0.42578125" style="40" customWidth="1"/>
    <col min="8" max="8" width="15.140625" style="40" customWidth="1"/>
    <col min="9" max="9" width="12.8515625" style="40" customWidth="1"/>
    <col min="10" max="10" width="12.57421875" style="40" customWidth="1"/>
    <col min="11" max="13" width="11.140625" style="40" customWidth="1"/>
    <col min="14" max="16384" width="11.421875" style="40" customWidth="1"/>
  </cols>
  <sheetData>
    <row r="1" s="377" customFormat="1" ht="24" customHeight="1">
      <c r="A1" s="352" t="s">
        <v>61</v>
      </c>
    </row>
    <row r="2" spans="1:11" s="377" customFormat="1" ht="24" customHeight="1">
      <c r="A2" s="355" t="s">
        <v>316</v>
      </c>
      <c r="B2" s="355"/>
      <c r="C2" s="355"/>
      <c r="D2" s="355"/>
      <c r="E2" s="355"/>
      <c r="F2" s="355"/>
      <c r="G2" s="355"/>
      <c r="H2" s="355"/>
      <c r="I2" s="355"/>
      <c r="J2" s="355"/>
      <c r="K2" s="385"/>
    </row>
    <row r="3" spans="1:11" ht="12.75" customHeight="1">
      <c r="A3" s="41"/>
      <c r="B3" s="72"/>
      <c r="C3" s="72"/>
      <c r="D3" s="72"/>
      <c r="E3" s="72"/>
      <c r="F3" s="72"/>
      <c r="G3" s="72"/>
      <c r="H3" s="72"/>
      <c r="I3" s="72"/>
      <c r="J3" s="72"/>
      <c r="K3" s="48"/>
    </row>
    <row r="4" spans="1:13" s="391" customFormat="1" ht="23.25" customHeight="1">
      <c r="A4" s="388" t="s">
        <v>321</v>
      </c>
      <c r="B4" s="389"/>
      <c r="C4" s="389"/>
      <c r="D4" s="389"/>
      <c r="E4" s="389"/>
      <c r="F4" s="389"/>
      <c r="G4" s="390"/>
      <c r="H4" s="389"/>
      <c r="I4" s="389"/>
      <c r="J4" s="389"/>
      <c r="K4" s="389"/>
      <c r="L4" s="389"/>
      <c r="M4" s="390"/>
    </row>
    <row r="5" spans="1:10" ht="18" customHeight="1">
      <c r="A5" s="52"/>
      <c r="B5" s="80" t="s">
        <v>62</v>
      </c>
      <c r="C5" s="80"/>
      <c r="D5" s="69"/>
      <c r="E5" s="80" t="s">
        <v>183</v>
      </c>
      <c r="F5" s="80"/>
      <c r="G5" s="76"/>
      <c r="H5" s="80" t="s">
        <v>179</v>
      </c>
      <c r="I5" s="80"/>
      <c r="J5" s="80"/>
    </row>
    <row r="6" spans="1:10" ht="18" customHeight="1">
      <c r="A6" s="494" t="s">
        <v>181</v>
      </c>
      <c r="B6" s="495" t="s">
        <v>64</v>
      </c>
      <c r="C6" s="495" t="s">
        <v>293</v>
      </c>
      <c r="D6" s="47"/>
      <c r="E6" s="495" t="s">
        <v>366</v>
      </c>
      <c r="F6" s="495" t="s">
        <v>367</v>
      </c>
      <c r="G6" s="47"/>
      <c r="H6" s="81" t="s">
        <v>297</v>
      </c>
      <c r="I6" s="81"/>
      <c r="J6" s="495" t="s">
        <v>294</v>
      </c>
    </row>
    <row r="7" spans="1:10" ht="18" customHeight="1">
      <c r="A7" s="494"/>
      <c r="B7" s="496"/>
      <c r="C7" s="497"/>
      <c r="D7" s="47"/>
      <c r="E7" s="496"/>
      <c r="F7" s="496"/>
      <c r="G7" s="47"/>
      <c r="H7" s="116" t="s">
        <v>295</v>
      </c>
      <c r="I7" s="116" t="s">
        <v>296</v>
      </c>
      <c r="J7" s="496"/>
    </row>
    <row r="8" spans="1:10" ht="12.75">
      <c r="A8" s="51">
        <v>1</v>
      </c>
      <c r="B8" s="130">
        <v>0.55</v>
      </c>
      <c r="C8" s="263">
        <f>B8*E37</f>
        <v>400866621.0516</v>
      </c>
      <c r="D8" s="261">
        <v>0</v>
      </c>
      <c r="E8" s="263">
        <v>0</v>
      </c>
      <c r="F8" s="263">
        <f>C8</f>
        <v>400866621.0516</v>
      </c>
      <c r="G8" s="262"/>
      <c r="H8" s="263">
        <f>C8*E40</f>
        <v>7015165.868403001</v>
      </c>
      <c r="I8" s="263">
        <f>(E37-F8)*E41</f>
        <v>2459863.3564529996</v>
      </c>
      <c r="J8" s="263">
        <f>F8*E39</f>
        <v>51775523.51570825</v>
      </c>
    </row>
    <row r="9" spans="1:10" ht="12.75">
      <c r="A9" s="51">
        <v>2</v>
      </c>
      <c r="B9" s="131">
        <v>0.45</v>
      </c>
      <c r="C9" s="278">
        <f>B9*E37</f>
        <v>327981780.86039996</v>
      </c>
      <c r="D9" s="261">
        <f>F8</f>
        <v>400866621.0516</v>
      </c>
      <c r="E9" s="278">
        <f>F8</f>
        <v>400866621.0516</v>
      </c>
      <c r="F9" s="278">
        <f>E9+C9</f>
        <v>728848401.912</v>
      </c>
      <c r="G9" s="262"/>
      <c r="H9" s="278">
        <f>C9*E40</f>
        <v>5739681.165057</v>
      </c>
      <c r="I9" s="278">
        <f>(E37-F9)*E41</f>
        <v>0</v>
      </c>
      <c r="J9" s="278">
        <f>F9*E39</f>
        <v>94137315.48310591</v>
      </c>
    </row>
    <row r="10" spans="1:10" ht="18" customHeight="1" thickBot="1">
      <c r="A10" s="49" t="s">
        <v>182</v>
      </c>
      <c r="B10" s="132">
        <f>SUM(B8:B9)</f>
        <v>1</v>
      </c>
      <c r="C10" s="266">
        <f>SUM(C8:C9)</f>
        <v>728848401.912</v>
      </c>
      <c r="D10" s="261"/>
      <c r="E10" s="262"/>
      <c r="F10" s="262"/>
      <c r="G10" s="262"/>
      <c r="H10" s="266">
        <f>SUM(H8:H9)</f>
        <v>12754847.03346</v>
      </c>
      <c r="I10" s="266">
        <f>SUM(I8:I9)</f>
        <v>2459863.3564529996</v>
      </c>
      <c r="J10" s="266">
        <f>SUM(J8:J9)</f>
        <v>145912838.99881417</v>
      </c>
    </row>
    <row r="11" spans="1:10" ht="18" customHeight="1" thickBot="1" thickTop="1">
      <c r="A11" s="51"/>
      <c r="B11" s="38"/>
      <c r="C11" s="261"/>
      <c r="D11" s="261"/>
      <c r="E11" s="261"/>
      <c r="F11" s="261"/>
      <c r="G11" s="262"/>
      <c r="H11" s="279" t="s">
        <v>179</v>
      </c>
      <c r="I11" s="280"/>
      <c r="J11" s="260">
        <f>SUM(H10:J10)</f>
        <v>161127549.38872716</v>
      </c>
    </row>
    <row r="12" spans="1:10" s="391" customFormat="1" ht="29.25" customHeight="1" thickTop="1">
      <c r="A12" s="388" t="s">
        <v>319</v>
      </c>
      <c r="B12" s="338"/>
      <c r="C12" s="392"/>
      <c r="D12" s="392"/>
      <c r="E12" s="392"/>
      <c r="F12" s="392"/>
      <c r="G12" s="393"/>
      <c r="H12" s="392"/>
      <c r="I12" s="392"/>
      <c r="J12" s="392"/>
    </row>
    <row r="13" spans="1:10" ht="18" customHeight="1">
      <c r="A13" s="51"/>
      <c r="B13" s="38"/>
      <c r="C13" s="22"/>
      <c r="D13" s="22"/>
      <c r="E13" s="124" t="s">
        <v>183</v>
      </c>
      <c r="F13" s="124"/>
      <c r="G13" s="21"/>
      <c r="H13" s="124" t="s">
        <v>63</v>
      </c>
      <c r="I13" s="124"/>
      <c r="J13" s="124"/>
    </row>
    <row r="14" spans="1:10" ht="37.5" customHeight="1">
      <c r="A14" s="53" t="s">
        <v>181</v>
      </c>
      <c r="B14" s="38"/>
      <c r="C14" s="22"/>
      <c r="D14" s="22"/>
      <c r="E14" s="125" t="s">
        <v>365</v>
      </c>
      <c r="F14" s="125" t="s">
        <v>432</v>
      </c>
      <c r="G14" s="21"/>
      <c r="H14" s="125" t="s">
        <v>184</v>
      </c>
      <c r="I14" s="125" t="s">
        <v>185</v>
      </c>
      <c r="J14" s="125" t="s">
        <v>186</v>
      </c>
    </row>
    <row r="15" spans="1:10" ht="12.75">
      <c r="A15" s="51">
        <v>3</v>
      </c>
      <c r="B15" s="65" t="s">
        <v>194</v>
      </c>
      <c r="C15" s="126"/>
      <c r="D15" s="22"/>
      <c r="E15" s="261">
        <f>F9</f>
        <v>728848401.912</v>
      </c>
      <c r="F15" s="261">
        <f>E15-I15</f>
        <v>728848401.912</v>
      </c>
      <c r="G15" s="262"/>
      <c r="H15" s="261">
        <f>J15</f>
        <v>94137315.48310591</v>
      </c>
      <c r="I15" s="261">
        <f>H15-J15</f>
        <v>0</v>
      </c>
      <c r="J15" s="261">
        <f>E15*E39</f>
        <v>94137315.48310591</v>
      </c>
    </row>
    <row r="16" spans="1:10" ht="12.75">
      <c r="A16" s="51">
        <v>4</v>
      </c>
      <c r="B16" s="65" t="s">
        <v>194</v>
      </c>
      <c r="C16" s="126"/>
      <c r="D16" s="22"/>
      <c r="E16" s="261">
        <f>F15</f>
        <v>728848401.912</v>
      </c>
      <c r="F16" s="261">
        <f aca="true" t="shared" si="0" ref="F16:F24">E16-I16</f>
        <v>728848401.912</v>
      </c>
      <c r="G16" s="262"/>
      <c r="H16" s="261">
        <f>J16</f>
        <v>94137315.48310591</v>
      </c>
      <c r="I16" s="261">
        <f aca="true" t="shared" si="1" ref="I16:I24">H16-J16</f>
        <v>0</v>
      </c>
      <c r="J16" s="261">
        <f>E16*E39</f>
        <v>94137315.48310591</v>
      </c>
    </row>
    <row r="17" spans="1:10" ht="12.75">
      <c r="A17" s="51">
        <v>5</v>
      </c>
      <c r="B17" s="40" t="s">
        <v>195</v>
      </c>
      <c r="C17" s="22"/>
      <c r="D17" s="22"/>
      <c r="E17" s="261">
        <f aca="true" t="shared" si="2" ref="E17:E24">F16</f>
        <v>728848401.912</v>
      </c>
      <c r="F17" s="261">
        <f t="shared" si="0"/>
        <v>671540433.1284028</v>
      </c>
      <c r="G17" s="262"/>
      <c r="H17" s="261">
        <f>-PMT(E39,E45,E37)</f>
        <v>151445284.26670307</v>
      </c>
      <c r="I17" s="261">
        <f t="shared" si="1"/>
        <v>57307968.78359716</v>
      </c>
      <c r="J17" s="261">
        <f>E17*E39</f>
        <v>94137315.48310591</v>
      </c>
    </row>
    <row r="18" spans="1:10" ht="12.75">
      <c r="A18" s="51">
        <v>6</v>
      </c>
      <c r="B18" s="40" t="s">
        <v>196</v>
      </c>
      <c r="C18" s="22"/>
      <c r="D18" s="22"/>
      <c r="E18" s="261">
        <f t="shared" si="2"/>
        <v>671540433.1284028</v>
      </c>
      <c r="F18" s="261">
        <f t="shared" si="0"/>
        <v>606830625.6045064</v>
      </c>
      <c r="G18" s="262"/>
      <c r="H18" s="261">
        <f aca="true" t="shared" si="3" ref="H18:H24">H17</f>
        <v>151445284.26670307</v>
      </c>
      <c r="I18" s="261">
        <f t="shared" si="1"/>
        <v>64709807.52389644</v>
      </c>
      <c r="J18" s="261">
        <f>E18*E39</f>
        <v>86735476.74280663</v>
      </c>
    </row>
    <row r="19" spans="1:10" ht="12.75">
      <c r="A19" s="51">
        <v>7</v>
      </c>
      <c r="B19" s="40" t="s">
        <v>197</v>
      </c>
      <c r="C19" s="22"/>
      <c r="D19" s="22"/>
      <c r="E19" s="261">
        <f t="shared" si="2"/>
        <v>606830625.6045064</v>
      </c>
      <c r="F19" s="261">
        <f t="shared" si="0"/>
        <v>533762965.40542</v>
      </c>
      <c r="G19" s="262"/>
      <c r="H19" s="261">
        <f t="shared" si="3"/>
        <v>151445284.26670307</v>
      </c>
      <c r="I19" s="261">
        <f t="shared" si="1"/>
        <v>73067660.19908635</v>
      </c>
      <c r="J19" s="261">
        <f>E19*E39</f>
        <v>78377624.06761672</v>
      </c>
    </row>
    <row r="20" spans="1:10" ht="12.75">
      <c r="A20" s="51">
        <v>8</v>
      </c>
      <c r="B20" s="40" t="s">
        <v>198</v>
      </c>
      <c r="C20" s="22"/>
      <c r="D20" s="22"/>
      <c r="E20" s="261">
        <f t="shared" si="2"/>
        <v>533762965.40542</v>
      </c>
      <c r="F20" s="261">
        <f t="shared" si="0"/>
        <v>451257960.8124521</v>
      </c>
      <c r="G20" s="262"/>
      <c r="H20" s="261">
        <f t="shared" si="3"/>
        <v>151445284.26670307</v>
      </c>
      <c r="I20" s="261">
        <f t="shared" si="1"/>
        <v>82505004.59296796</v>
      </c>
      <c r="J20" s="261">
        <f>E20*E39</f>
        <v>68940279.67373511</v>
      </c>
    </row>
    <row r="21" spans="1:10" ht="12.75">
      <c r="A21" s="51">
        <v>9</v>
      </c>
      <c r="B21" s="40" t="s">
        <v>199</v>
      </c>
      <c r="C21" s="22"/>
      <c r="D21" s="22"/>
      <c r="E21" s="261">
        <f t="shared" si="2"/>
        <v>451257960.8124521</v>
      </c>
      <c r="F21" s="261">
        <f t="shared" si="0"/>
        <v>358096694.058617</v>
      </c>
      <c r="G21" s="262"/>
      <c r="H21" s="261">
        <f t="shared" si="3"/>
        <v>151445284.26670307</v>
      </c>
      <c r="I21" s="261">
        <f t="shared" si="1"/>
        <v>93161266.75383508</v>
      </c>
      <c r="J21" s="261">
        <f>E21*E39</f>
        <v>58284017.51286798</v>
      </c>
    </row>
    <row r="22" spans="1:10" ht="12.75">
      <c r="A22" s="51">
        <v>10</v>
      </c>
      <c r="B22" s="40" t="s">
        <v>200</v>
      </c>
      <c r="C22" s="22"/>
      <c r="D22" s="22"/>
      <c r="E22" s="261">
        <f t="shared" si="2"/>
        <v>358096694.058617</v>
      </c>
      <c r="F22" s="261">
        <f t="shared" si="0"/>
        <v>252902813.20258287</v>
      </c>
      <c r="G22" s="262"/>
      <c r="H22" s="261">
        <f t="shared" si="3"/>
        <v>151445284.26670307</v>
      </c>
      <c r="I22" s="261">
        <f t="shared" si="1"/>
        <v>105193880.85603413</v>
      </c>
      <c r="J22" s="261">
        <f>E22*E39</f>
        <v>46251403.41066895</v>
      </c>
    </row>
    <row r="23" spans="1:10" ht="12.75">
      <c r="A23" s="51">
        <v>11</v>
      </c>
      <c r="B23" s="40" t="s">
        <v>201</v>
      </c>
      <c r="C23" s="22"/>
      <c r="D23" s="22"/>
      <c r="E23" s="261">
        <f t="shared" si="2"/>
        <v>252902813.20258287</v>
      </c>
      <c r="F23" s="261">
        <f t="shared" si="0"/>
        <v>134122198.09144315</v>
      </c>
      <c r="G23" s="262"/>
      <c r="H23" s="261">
        <f t="shared" si="3"/>
        <v>151445284.26670307</v>
      </c>
      <c r="I23" s="261">
        <f t="shared" si="1"/>
        <v>118780615.11113971</v>
      </c>
      <c r="J23" s="261">
        <f>E23*E39</f>
        <v>32664669.15556335</v>
      </c>
    </row>
    <row r="24" spans="1:10" ht="12.75">
      <c r="A24" s="51">
        <v>12</v>
      </c>
      <c r="B24" s="40" t="s">
        <v>202</v>
      </c>
      <c r="C24" s="22"/>
      <c r="D24" s="22"/>
      <c r="E24" s="261">
        <f t="shared" si="2"/>
        <v>134122198.09144315</v>
      </c>
      <c r="F24" s="261">
        <f t="shared" si="0"/>
        <v>-3.2782554626464844E-07</v>
      </c>
      <c r="G24" s="262"/>
      <c r="H24" s="278">
        <f t="shared" si="3"/>
        <v>151445284.26670307</v>
      </c>
      <c r="I24" s="278">
        <f t="shared" si="1"/>
        <v>134122198.09144348</v>
      </c>
      <c r="J24" s="278">
        <f>E24*E39</f>
        <v>17323086.175259586</v>
      </c>
    </row>
    <row r="25" spans="1:10" ht="18" customHeight="1" thickBot="1">
      <c r="A25" s="53" t="s">
        <v>182</v>
      </c>
      <c r="C25" s="22"/>
      <c r="D25" s="58"/>
      <c r="E25" s="258"/>
      <c r="F25" s="258"/>
      <c r="G25" s="258"/>
      <c r="H25" s="266">
        <f>SUM(H15:H24)</f>
        <v>1399836905.0998366</v>
      </c>
      <c r="I25" s="266">
        <f>SUM(I15:I24)</f>
        <v>728848401.9120004</v>
      </c>
      <c r="J25" s="266">
        <f>SUM(J15:J24)</f>
        <v>670988503.187836</v>
      </c>
    </row>
    <row r="26" spans="1:10" ht="23.25" customHeight="1" thickTop="1">
      <c r="A26" s="72" t="s">
        <v>320</v>
      </c>
      <c r="B26" s="42"/>
      <c r="C26" s="127"/>
      <c r="D26" s="127"/>
      <c r="E26" s="281"/>
      <c r="F26" s="281"/>
      <c r="G26" s="282"/>
      <c r="H26" s="281"/>
      <c r="I26" s="281"/>
      <c r="J26" s="281"/>
    </row>
    <row r="27" spans="1:10" ht="37.5" customHeight="1">
      <c r="A27" s="53" t="s">
        <v>187</v>
      </c>
      <c r="C27" s="22"/>
      <c r="D27" s="22"/>
      <c r="E27" s="261"/>
      <c r="F27" s="261"/>
      <c r="G27" s="262"/>
      <c r="H27" s="261"/>
      <c r="I27" s="283" t="s">
        <v>185</v>
      </c>
      <c r="J27" s="283" t="s">
        <v>186</v>
      </c>
    </row>
    <row r="28" spans="1:10" ht="12.75">
      <c r="A28" s="51">
        <v>1</v>
      </c>
      <c r="B28" s="65" t="s">
        <v>189</v>
      </c>
      <c r="C28" s="126"/>
      <c r="D28" s="22"/>
      <c r="E28" s="284" t="s">
        <v>330</v>
      </c>
      <c r="F28" s="261"/>
      <c r="G28" s="262"/>
      <c r="H28" s="261"/>
      <c r="I28" s="262"/>
      <c r="J28" s="262"/>
    </row>
    <row r="29" spans="1:10" ht="12.75">
      <c r="A29" s="51">
        <v>2</v>
      </c>
      <c r="B29" s="65" t="s">
        <v>190</v>
      </c>
      <c r="C29" s="22"/>
      <c r="D29" s="22"/>
      <c r="E29" s="284" t="s">
        <v>331</v>
      </c>
      <c r="F29" s="261"/>
      <c r="G29" s="262"/>
      <c r="H29" s="261"/>
      <c r="I29" s="262">
        <f>I15+I16</f>
        <v>0</v>
      </c>
      <c r="J29" s="262">
        <f>J15+J16</f>
        <v>188274630.96621183</v>
      </c>
    </row>
    <row r="30" spans="1:10" ht="12.75">
      <c r="A30" s="51">
        <v>3</v>
      </c>
      <c r="B30" s="65" t="s">
        <v>191</v>
      </c>
      <c r="C30" s="22"/>
      <c r="D30" s="22"/>
      <c r="E30" s="284" t="s">
        <v>331</v>
      </c>
      <c r="F30" s="261"/>
      <c r="G30" s="262"/>
      <c r="H30" s="261"/>
      <c r="I30" s="262">
        <f>I17+I18</f>
        <v>122017776.3074936</v>
      </c>
      <c r="J30" s="262">
        <f>J17+J18</f>
        <v>180872792.22591254</v>
      </c>
    </row>
    <row r="31" spans="1:10" ht="12.75">
      <c r="A31" s="51">
        <v>4</v>
      </c>
      <c r="B31" s="65" t="s">
        <v>192</v>
      </c>
      <c r="C31" s="22"/>
      <c r="D31" s="22"/>
      <c r="E31" s="284" t="s">
        <v>331</v>
      </c>
      <c r="F31" s="261"/>
      <c r="G31" s="262"/>
      <c r="H31" s="261"/>
      <c r="I31" s="262">
        <f>I19+I20</f>
        <v>155572664.7920543</v>
      </c>
      <c r="J31" s="262">
        <f>J19+J20</f>
        <v>147317903.74135184</v>
      </c>
    </row>
    <row r="32" spans="1:10" ht="12.75">
      <c r="A32" s="51">
        <v>5</v>
      </c>
      <c r="B32" s="65" t="s">
        <v>193</v>
      </c>
      <c r="C32" s="22"/>
      <c r="D32" s="22"/>
      <c r="E32" s="284" t="s">
        <v>331</v>
      </c>
      <c r="F32" s="261"/>
      <c r="G32" s="262"/>
      <c r="H32" s="261"/>
      <c r="I32" s="262">
        <f>I21+I22</f>
        <v>198355147.6098692</v>
      </c>
      <c r="J32" s="262">
        <f>J21+J22</f>
        <v>104535420.92353693</v>
      </c>
    </row>
    <row r="33" spans="1:10" ht="12.75">
      <c r="A33" s="51">
        <v>6</v>
      </c>
      <c r="B33" s="65" t="s">
        <v>188</v>
      </c>
      <c r="C33" s="22"/>
      <c r="D33" s="22"/>
      <c r="E33" s="284" t="s">
        <v>331</v>
      </c>
      <c r="F33" s="261"/>
      <c r="G33" s="262"/>
      <c r="H33" s="261"/>
      <c r="I33" s="278">
        <f>I23+I24</f>
        <v>252902813.2025832</v>
      </c>
      <c r="J33" s="278">
        <f>J23+J24</f>
        <v>49987755.33082294</v>
      </c>
    </row>
    <row r="34" spans="1:10" ht="18" customHeight="1" thickBot="1">
      <c r="A34" s="53" t="s">
        <v>182</v>
      </c>
      <c r="B34" s="59"/>
      <c r="C34" s="57"/>
      <c r="D34" s="57"/>
      <c r="E34" s="261"/>
      <c r="F34" s="261"/>
      <c r="G34" s="257"/>
      <c r="H34" s="261"/>
      <c r="I34" s="266">
        <f>SUM(I28:I33)</f>
        <v>728848401.9120003</v>
      </c>
      <c r="J34" s="266">
        <f>SUM(J28:J33)</f>
        <v>670988503.187836</v>
      </c>
    </row>
    <row r="35" spans="3:10" ht="13.5" thickTop="1">
      <c r="C35" s="128"/>
      <c r="D35" s="128"/>
      <c r="E35" s="284"/>
      <c r="F35" s="284"/>
      <c r="G35" s="285"/>
      <c r="H35" s="284"/>
      <c r="I35" s="284"/>
      <c r="J35" s="284"/>
    </row>
    <row r="36" spans="2:10" ht="12.75">
      <c r="B36" s="387" t="s">
        <v>447</v>
      </c>
      <c r="C36" s="128"/>
      <c r="D36" s="128"/>
      <c r="E36" s="261"/>
      <c r="F36" s="284"/>
      <c r="G36" s="285"/>
      <c r="H36" s="284"/>
      <c r="I36" s="284"/>
      <c r="J36" s="284"/>
    </row>
    <row r="37" spans="2:10" ht="12.75">
      <c r="B37" s="354" t="s">
        <v>495</v>
      </c>
      <c r="C37" s="128"/>
      <c r="D37" s="128"/>
      <c r="E37" s="261">
        <f>'C3'!L25</f>
        <v>728848401.912</v>
      </c>
      <c r="F37" s="386" t="s">
        <v>496</v>
      </c>
      <c r="G37" s="284"/>
      <c r="H37" s="284"/>
      <c r="I37" s="284"/>
      <c r="J37" s="284"/>
    </row>
    <row r="38" spans="2:6" ht="12.75">
      <c r="B38" s="354" t="s">
        <v>497</v>
      </c>
      <c r="E38" s="442">
        <v>0.275</v>
      </c>
      <c r="F38" s="354" t="s">
        <v>491</v>
      </c>
    </row>
    <row r="39" spans="2:6" ht="12.75">
      <c r="B39" s="354" t="s">
        <v>498</v>
      </c>
      <c r="E39" s="16">
        <f>POWER((1+E38),1/2)-1</f>
        <v>0.1291589790636214</v>
      </c>
      <c r="F39" s="354" t="s">
        <v>491</v>
      </c>
    </row>
    <row r="40" spans="2:6" ht="12.75">
      <c r="B40" s="354" t="s">
        <v>499</v>
      </c>
      <c r="E40" s="16">
        <v>0.0175</v>
      </c>
      <c r="F40" s="354" t="s">
        <v>500</v>
      </c>
    </row>
    <row r="41" spans="2:6" ht="12.75">
      <c r="B41" s="354" t="s">
        <v>501</v>
      </c>
      <c r="E41" s="16">
        <v>0.0075</v>
      </c>
      <c r="F41" s="354" t="s">
        <v>494</v>
      </c>
    </row>
    <row r="42" spans="2:6" ht="12.75">
      <c r="B42" s="354" t="s">
        <v>502</v>
      </c>
      <c r="E42" s="50">
        <v>12</v>
      </c>
      <c r="F42" s="354" t="s">
        <v>493</v>
      </c>
    </row>
    <row r="43" spans="2:6" ht="12.75">
      <c r="B43" s="354" t="s">
        <v>503</v>
      </c>
      <c r="E43" s="50">
        <v>2</v>
      </c>
      <c r="F43" s="354" t="s">
        <v>493</v>
      </c>
    </row>
    <row r="44" spans="2:6" ht="12.75">
      <c r="B44" s="354" t="s">
        <v>492</v>
      </c>
      <c r="E44" s="50">
        <v>2</v>
      </c>
      <c r="F44" s="354" t="s">
        <v>493</v>
      </c>
    </row>
    <row r="45" spans="2:6" ht="12.75">
      <c r="B45" s="354" t="s">
        <v>504</v>
      </c>
      <c r="E45" s="50">
        <f>E42-(E43+E44)</f>
        <v>8</v>
      </c>
      <c r="F45" s="354" t="s">
        <v>493</v>
      </c>
    </row>
    <row r="46" spans="5:6" ht="12.75">
      <c r="E46" s="50"/>
      <c r="F46" s="354"/>
    </row>
    <row r="47" ht="12.75">
      <c r="G47" s="62"/>
    </row>
    <row r="48" ht="12.75">
      <c r="G48" s="62"/>
    </row>
    <row r="49" ht="12.75">
      <c r="G49" s="62"/>
    </row>
    <row r="50" ht="12.75">
      <c r="G50" s="62"/>
    </row>
    <row r="51" ht="12.75">
      <c r="G51" s="62"/>
    </row>
  </sheetData>
  <mergeCells count="6">
    <mergeCell ref="A6:A7"/>
    <mergeCell ref="J6:J7"/>
    <mergeCell ref="B6:B7"/>
    <mergeCell ref="C6:C7"/>
    <mergeCell ref="E6:E7"/>
    <mergeCell ref="F6:F7"/>
  </mergeCells>
  <printOptions horizontalCentered="1" verticalCentered="1"/>
  <pageMargins left="0.3937007874015748" right="0.75" top="1" bottom="1" header="0" footer="0"/>
  <pageSetup horizontalDpi="300" verticalDpi="300" orientation="portrait" paperSize="9" scale="95" r:id="rId1"/>
  <ignoredErrors>
    <ignoredError sqref="J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4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40" customWidth="1"/>
    <col min="2" max="2" width="24.8515625" style="40" customWidth="1"/>
    <col min="3" max="3" width="0.42578125" style="40" customWidth="1"/>
    <col min="4" max="4" width="3.8515625" style="40" customWidth="1"/>
    <col min="5" max="5" width="4.00390625" style="40" customWidth="1"/>
    <col min="6" max="6" width="0.42578125" style="40" customWidth="1"/>
    <col min="7" max="7" width="12.57421875" style="128" customWidth="1"/>
    <col min="8" max="8" width="0.42578125" style="128" customWidth="1"/>
    <col min="9" max="9" width="13.421875" style="128" customWidth="1"/>
    <col min="10" max="10" width="0.42578125" style="128" customWidth="1"/>
    <col min="11" max="11" width="15.57421875" style="128" customWidth="1"/>
    <col min="12" max="12" width="0.42578125" style="128" customWidth="1"/>
    <col min="13" max="13" width="16.140625" style="128" customWidth="1"/>
    <col min="14" max="16384" width="11.421875" style="40" customWidth="1"/>
  </cols>
  <sheetData>
    <row r="1" spans="1:13" s="377" customFormat="1" ht="24" customHeight="1">
      <c r="A1" s="352" t="s">
        <v>507</v>
      </c>
      <c r="G1" s="394"/>
      <c r="H1" s="394"/>
      <c r="I1" s="394"/>
      <c r="J1" s="394"/>
      <c r="K1" s="394"/>
      <c r="L1" s="394"/>
      <c r="M1" s="394"/>
    </row>
    <row r="2" spans="1:13" s="377" customFormat="1" ht="24" customHeight="1">
      <c r="A2" s="355" t="s">
        <v>361</v>
      </c>
      <c r="B2" s="378"/>
      <c r="C2" s="378"/>
      <c r="D2" s="378"/>
      <c r="E2" s="378"/>
      <c r="F2" s="378"/>
      <c r="G2" s="395"/>
      <c r="H2" s="395"/>
      <c r="I2" s="395"/>
      <c r="J2" s="395"/>
      <c r="K2" s="395"/>
      <c r="L2" s="395"/>
      <c r="M2" s="395"/>
    </row>
    <row r="3" spans="1:13" ht="12.75">
      <c r="A3" s="48"/>
      <c r="B3" s="48"/>
      <c r="C3" s="48"/>
      <c r="D3" s="48"/>
      <c r="E3" s="48"/>
      <c r="F3" s="39"/>
      <c r="G3" s="142"/>
      <c r="H3" s="142"/>
      <c r="I3" s="142"/>
      <c r="J3" s="142"/>
      <c r="K3" s="142"/>
      <c r="L3" s="143"/>
      <c r="M3" s="142"/>
    </row>
    <row r="4" spans="1:13" ht="15.75">
      <c r="A4" s="133" t="s">
        <v>32</v>
      </c>
      <c r="B4" s="48"/>
      <c r="C4" s="48"/>
      <c r="D4" s="48"/>
      <c r="E4" s="48"/>
      <c r="F4" s="48"/>
      <c r="G4" s="142"/>
      <c r="H4" s="142"/>
      <c r="I4" s="142"/>
      <c r="J4" s="142"/>
      <c r="K4" s="142"/>
      <c r="L4" s="143"/>
      <c r="M4" s="151"/>
    </row>
    <row r="5" spans="1:13" ht="22.5" customHeight="1">
      <c r="A5" s="52"/>
      <c r="B5" s="52"/>
      <c r="C5" s="52"/>
      <c r="D5" s="52"/>
      <c r="E5" s="52"/>
      <c r="F5" s="69"/>
      <c r="G5" s="144" t="s">
        <v>66</v>
      </c>
      <c r="H5" s="145"/>
      <c r="I5" s="144"/>
      <c r="J5" s="145"/>
      <c r="K5" s="144"/>
      <c r="L5" s="70"/>
      <c r="M5" s="146"/>
    </row>
    <row r="6" spans="1:13" ht="37.5" customHeight="1">
      <c r="A6" s="134" t="s">
        <v>11</v>
      </c>
      <c r="B6" s="134" t="s">
        <v>228</v>
      </c>
      <c r="C6" s="104"/>
      <c r="D6" s="134" t="s">
        <v>67</v>
      </c>
      <c r="E6" s="134" t="s">
        <v>68</v>
      </c>
      <c r="F6" s="104"/>
      <c r="G6" s="147" t="s">
        <v>227</v>
      </c>
      <c r="H6" s="148"/>
      <c r="I6" s="147" t="s">
        <v>229</v>
      </c>
      <c r="J6" s="148"/>
      <c r="K6" s="147" t="s">
        <v>87</v>
      </c>
      <c r="L6" s="149"/>
      <c r="M6" s="147" t="s">
        <v>274</v>
      </c>
    </row>
    <row r="7" spans="1:13" ht="13.5" customHeight="1">
      <c r="A7" s="51">
        <v>1</v>
      </c>
      <c r="B7" s="40" t="s">
        <v>70</v>
      </c>
      <c r="C7" s="62"/>
      <c r="D7" s="51" t="s">
        <v>71</v>
      </c>
      <c r="E7" s="135">
        <v>1</v>
      </c>
      <c r="F7" s="136"/>
      <c r="G7" s="261">
        <v>2250000</v>
      </c>
      <c r="H7" s="262"/>
      <c r="I7" s="261">
        <f>E7*G7</f>
        <v>2250000</v>
      </c>
      <c r="J7" s="262"/>
      <c r="K7" s="261">
        <f>G30*I7</f>
        <v>562500</v>
      </c>
      <c r="L7" s="262"/>
      <c r="M7" s="261">
        <f>G31*(I7+K7)</f>
        <v>33750000</v>
      </c>
    </row>
    <row r="8" spans="1:13" ht="12.75">
      <c r="A8" s="51">
        <v>2</v>
      </c>
      <c r="B8" s="40" t="s">
        <v>72</v>
      </c>
      <c r="D8" s="51" t="s">
        <v>73</v>
      </c>
      <c r="E8" s="135">
        <v>1</v>
      </c>
      <c r="F8" s="136"/>
      <c r="G8" s="261">
        <v>750000</v>
      </c>
      <c r="H8" s="261"/>
      <c r="I8" s="261">
        <f aca="true" t="shared" si="0" ref="I8:I14">E8*G8</f>
        <v>750000</v>
      </c>
      <c r="J8" s="261"/>
      <c r="K8" s="261">
        <f>G30*I8</f>
        <v>187500</v>
      </c>
      <c r="L8" s="262"/>
      <c r="M8" s="261">
        <f>G31*(I8+K8)</f>
        <v>11250000</v>
      </c>
    </row>
    <row r="9" spans="1:13" ht="12.75">
      <c r="A9" s="51">
        <v>3</v>
      </c>
      <c r="B9" s="40" t="s">
        <v>74</v>
      </c>
      <c r="D9" s="51" t="s">
        <v>73</v>
      </c>
      <c r="E9" s="135">
        <v>1</v>
      </c>
      <c r="F9" s="136"/>
      <c r="G9" s="261">
        <v>1500000</v>
      </c>
      <c r="H9" s="261"/>
      <c r="I9" s="261">
        <f t="shared" si="0"/>
        <v>1500000</v>
      </c>
      <c r="J9" s="261"/>
      <c r="K9" s="261">
        <f>G30*I9</f>
        <v>375000</v>
      </c>
      <c r="L9" s="262"/>
      <c r="M9" s="261">
        <f>G31*(I9+K9)</f>
        <v>22500000</v>
      </c>
    </row>
    <row r="10" spans="1:13" ht="12.75">
      <c r="A10" s="51">
        <v>3</v>
      </c>
      <c r="B10" s="40" t="s">
        <v>75</v>
      </c>
      <c r="D10" s="51" t="s">
        <v>71</v>
      </c>
      <c r="E10" s="135">
        <v>1</v>
      </c>
      <c r="F10" s="136"/>
      <c r="G10" s="261">
        <v>1250000</v>
      </c>
      <c r="H10" s="261"/>
      <c r="I10" s="261">
        <f t="shared" si="0"/>
        <v>1250000</v>
      </c>
      <c r="J10" s="261"/>
      <c r="K10" s="261">
        <f>G30*I10</f>
        <v>312500</v>
      </c>
      <c r="L10" s="262"/>
      <c r="M10" s="261">
        <f>G31*(I10+K10)</f>
        <v>18750000</v>
      </c>
    </row>
    <row r="11" spans="1:13" ht="12.75">
      <c r="A11" s="51">
        <v>4</v>
      </c>
      <c r="B11" s="40" t="s">
        <v>76</v>
      </c>
      <c r="D11" s="51" t="s">
        <v>73</v>
      </c>
      <c r="E11" s="135">
        <v>2</v>
      </c>
      <c r="F11" s="136"/>
      <c r="G11" s="261">
        <v>750000</v>
      </c>
      <c r="H11" s="261"/>
      <c r="I11" s="261">
        <f t="shared" si="0"/>
        <v>1500000</v>
      </c>
      <c r="J11" s="261"/>
      <c r="K11" s="261">
        <f>G30*I11</f>
        <v>375000</v>
      </c>
      <c r="L11" s="262"/>
      <c r="M11" s="261">
        <f>G31*(I11+K11)</f>
        <v>22500000</v>
      </c>
    </row>
    <row r="12" spans="1:13" ht="12.75">
      <c r="A12" s="51">
        <v>4</v>
      </c>
      <c r="B12" s="40" t="s">
        <v>77</v>
      </c>
      <c r="D12" s="51" t="s">
        <v>73</v>
      </c>
      <c r="E12" s="135">
        <v>2</v>
      </c>
      <c r="F12" s="136"/>
      <c r="G12" s="261">
        <v>750000</v>
      </c>
      <c r="H12" s="261"/>
      <c r="I12" s="261">
        <f t="shared" si="0"/>
        <v>1500000</v>
      </c>
      <c r="J12" s="261"/>
      <c r="K12" s="261">
        <f>G30*I12</f>
        <v>375000</v>
      </c>
      <c r="L12" s="262"/>
      <c r="M12" s="261">
        <f>G31*(I12+K12)</f>
        <v>22500000</v>
      </c>
    </row>
    <row r="13" spans="1:13" ht="12.75">
      <c r="A13" s="51">
        <v>5</v>
      </c>
      <c r="B13" s="40" t="s">
        <v>78</v>
      </c>
      <c r="D13" s="51" t="s">
        <v>73</v>
      </c>
      <c r="E13" s="135">
        <v>3</v>
      </c>
      <c r="F13" s="136"/>
      <c r="G13" s="261">
        <v>500000</v>
      </c>
      <c r="H13" s="261"/>
      <c r="I13" s="261">
        <f t="shared" si="0"/>
        <v>1500000</v>
      </c>
      <c r="J13" s="261"/>
      <c r="K13" s="261">
        <f>G30*I13</f>
        <v>375000</v>
      </c>
      <c r="L13" s="262"/>
      <c r="M13" s="261">
        <f>G31*(I13+K13)</f>
        <v>22500000</v>
      </c>
    </row>
    <row r="14" spans="1:13" ht="12.75">
      <c r="A14" s="51">
        <v>5</v>
      </c>
      <c r="B14" s="40" t="s">
        <v>79</v>
      </c>
      <c r="D14" s="51" t="s">
        <v>71</v>
      </c>
      <c r="E14" s="137">
        <v>2</v>
      </c>
      <c r="F14" s="136"/>
      <c r="G14" s="261">
        <v>500000</v>
      </c>
      <c r="H14" s="261"/>
      <c r="I14" s="278">
        <f t="shared" si="0"/>
        <v>1000000</v>
      </c>
      <c r="J14" s="262"/>
      <c r="K14" s="261">
        <f>G30*I14</f>
        <v>250000</v>
      </c>
      <c r="L14" s="262"/>
      <c r="M14" s="261">
        <f>G31*(I14+K14)</f>
        <v>15000000</v>
      </c>
    </row>
    <row r="15" spans="1:13" ht="18" customHeight="1" thickBot="1">
      <c r="A15" s="59"/>
      <c r="B15" s="53" t="s">
        <v>65</v>
      </c>
      <c r="C15" s="53"/>
      <c r="D15" s="59"/>
      <c r="E15" s="119">
        <f>SUM(E7:E14)</f>
        <v>13</v>
      </c>
      <c r="F15" s="69"/>
      <c r="G15" s="286"/>
      <c r="H15" s="257"/>
      <c r="I15" s="266">
        <f>SUM(I7:I14)</f>
        <v>11250000</v>
      </c>
      <c r="J15" s="258"/>
      <c r="K15" s="255">
        <f>SUM(K7:K14)</f>
        <v>2812500</v>
      </c>
      <c r="L15" s="258"/>
      <c r="M15" s="255">
        <f>SUM(M7:M14)</f>
        <v>168750000</v>
      </c>
    </row>
    <row r="16" spans="1:13" ht="13.5" customHeight="1" thickTop="1">
      <c r="A16" s="59"/>
      <c r="B16" s="53"/>
      <c r="C16" s="53"/>
      <c r="D16" s="59"/>
      <c r="E16" s="122"/>
      <c r="F16" s="69"/>
      <c r="G16" s="280"/>
      <c r="H16" s="280"/>
      <c r="I16" s="258"/>
      <c r="J16" s="287"/>
      <c r="K16" s="258"/>
      <c r="L16" s="258"/>
      <c r="M16" s="258"/>
    </row>
    <row r="17" spans="5:13" ht="18" customHeight="1">
      <c r="E17" s="50"/>
      <c r="F17" s="62"/>
      <c r="G17" s="261"/>
      <c r="H17" s="261"/>
      <c r="I17" s="288" t="s">
        <v>230</v>
      </c>
      <c r="J17" s="288"/>
      <c r="K17" s="289"/>
      <c r="L17" s="289"/>
      <c r="M17" s="289"/>
    </row>
    <row r="18" spans="1:13" ht="37.5" customHeight="1">
      <c r="A18" s="138"/>
      <c r="B18" s="117" t="s">
        <v>410</v>
      </c>
      <c r="C18" s="138"/>
      <c r="D18" s="138"/>
      <c r="E18" s="78"/>
      <c r="F18" s="138"/>
      <c r="G18" s="278"/>
      <c r="H18" s="261"/>
      <c r="I18" s="283" t="s">
        <v>229</v>
      </c>
      <c r="J18" s="290"/>
      <c r="K18" s="283" t="s">
        <v>87</v>
      </c>
      <c r="L18" s="290"/>
      <c r="M18" s="283" t="s">
        <v>69</v>
      </c>
    </row>
    <row r="19" spans="1:13" ht="12.75">
      <c r="A19" s="51">
        <v>1</v>
      </c>
      <c r="B19" s="40" t="s">
        <v>80</v>
      </c>
      <c r="E19" s="50">
        <f>SUMIF(A7:A14,A19,E7:E14)</f>
        <v>1</v>
      </c>
      <c r="F19" s="136"/>
      <c r="G19" s="261"/>
      <c r="H19" s="261"/>
      <c r="I19" s="261">
        <f>SUMIF(A7:A14,A19,I7:I14)*G31</f>
        <v>27000000</v>
      </c>
      <c r="J19" s="261"/>
      <c r="K19" s="261">
        <f>I19*G30</f>
        <v>6750000</v>
      </c>
      <c r="L19" s="262"/>
      <c r="M19" s="261">
        <f>I19+K19</f>
        <v>33750000</v>
      </c>
    </row>
    <row r="20" spans="1:13" ht="12.75">
      <c r="A20" s="51">
        <v>2</v>
      </c>
      <c r="B20" s="40" t="s">
        <v>81</v>
      </c>
      <c r="E20" s="50">
        <f>SUMIF(A7:A14,A20,E7:E14)</f>
        <v>1</v>
      </c>
      <c r="F20" s="136"/>
      <c r="G20" s="261"/>
      <c r="H20" s="261"/>
      <c r="I20" s="261">
        <f>SUMIF(A7:A14,A20,I7:I14)*G31</f>
        <v>9000000</v>
      </c>
      <c r="J20" s="261"/>
      <c r="K20" s="261">
        <f>I20*G30</f>
        <v>2250000</v>
      </c>
      <c r="L20" s="262"/>
      <c r="M20" s="261">
        <f>I20+K20</f>
        <v>11250000</v>
      </c>
    </row>
    <row r="21" spans="1:13" ht="12.75">
      <c r="A21" s="51">
        <v>3</v>
      </c>
      <c r="B21" s="40" t="s">
        <v>82</v>
      </c>
      <c r="E21" s="50">
        <f>SUMIF(A7:A14,A21,E7:E14)</f>
        <v>2</v>
      </c>
      <c r="F21" s="136"/>
      <c r="G21" s="261"/>
      <c r="H21" s="261"/>
      <c r="I21" s="261">
        <f>SUMIF(A7:A14,A21,I7:I14)*G31</f>
        <v>33000000</v>
      </c>
      <c r="J21" s="261"/>
      <c r="K21" s="261">
        <f>I21*G30</f>
        <v>8250000</v>
      </c>
      <c r="L21" s="262"/>
      <c r="M21" s="261">
        <f>I21+K21</f>
        <v>41250000</v>
      </c>
    </row>
    <row r="22" spans="1:13" ht="12.75">
      <c r="A22" s="51">
        <v>4</v>
      </c>
      <c r="B22" s="40" t="s">
        <v>83</v>
      </c>
      <c r="E22" s="50">
        <f>SUMIF(A7:A14,A22,E7:E14)</f>
        <v>4</v>
      </c>
      <c r="F22" s="136"/>
      <c r="G22" s="261"/>
      <c r="H22" s="261"/>
      <c r="I22" s="261">
        <f>SUMIF(A7:A14,A22,I7:I14)*G31</f>
        <v>36000000</v>
      </c>
      <c r="J22" s="261"/>
      <c r="K22" s="261">
        <f>I22*G30</f>
        <v>9000000</v>
      </c>
      <c r="L22" s="262"/>
      <c r="M22" s="261">
        <f>I22+K22</f>
        <v>45000000</v>
      </c>
    </row>
    <row r="23" spans="1:13" ht="12.75">
      <c r="A23" s="51">
        <v>5</v>
      </c>
      <c r="B23" s="40" t="s">
        <v>84</v>
      </c>
      <c r="E23" s="50">
        <f>SUMIF(A7:A14,A23,E7:E14)</f>
        <v>5</v>
      </c>
      <c r="F23" s="136"/>
      <c r="G23" s="261"/>
      <c r="H23" s="261"/>
      <c r="I23" s="261">
        <f>SUMIF(A7:A14,A23,I7:I14)*G31</f>
        <v>30000000</v>
      </c>
      <c r="J23" s="262"/>
      <c r="K23" s="261">
        <f>I23*G30</f>
        <v>7500000</v>
      </c>
      <c r="L23" s="262"/>
      <c r="M23" s="278">
        <f>I23+K23</f>
        <v>37500000</v>
      </c>
    </row>
    <row r="24" spans="1:13" ht="18" customHeight="1" thickBot="1">
      <c r="A24" s="59"/>
      <c r="B24" s="139" t="s">
        <v>65</v>
      </c>
      <c r="C24" s="139"/>
      <c r="D24" s="71"/>
      <c r="E24" s="123">
        <f>SUM(E19:E23)</f>
        <v>13</v>
      </c>
      <c r="F24" s="69"/>
      <c r="G24" s="280"/>
      <c r="H24" s="280"/>
      <c r="I24" s="255">
        <f>SUM(I19:I23)</f>
        <v>135000000</v>
      </c>
      <c r="J24" s="258"/>
      <c r="K24" s="255">
        <f>SUM(K19:K23)</f>
        <v>33750000</v>
      </c>
      <c r="L24" s="258"/>
      <c r="M24" s="266">
        <f>SUM(M19:M23)</f>
        <v>168750000</v>
      </c>
    </row>
    <row r="25" spans="2:13" ht="12.75" customHeight="1" thickTop="1">
      <c r="B25" s="40" t="s">
        <v>85</v>
      </c>
      <c r="D25" s="49" t="s">
        <v>71</v>
      </c>
      <c r="E25" s="50">
        <f>SUMIF(D7:D14,D25,E7:E14)</f>
        <v>4</v>
      </c>
      <c r="F25" s="62"/>
      <c r="G25" s="261"/>
      <c r="H25" s="261"/>
      <c r="I25" s="261">
        <f>SUMIF(D7:D14,D25,I7:I14)*G31</f>
        <v>54000000</v>
      </c>
      <c r="J25" s="262"/>
      <c r="K25" s="261">
        <f>I25*G30</f>
        <v>13500000</v>
      </c>
      <c r="L25" s="262"/>
      <c r="M25" s="261">
        <f>I25+K25</f>
        <v>67500000</v>
      </c>
    </row>
    <row r="26" spans="2:13" ht="12.75">
      <c r="B26" s="40" t="s">
        <v>86</v>
      </c>
      <c r="D26" s="49" t="s">
        <v>73</v>
      </c>
      <c r="E26" s="50">
        <f>SUMIF(D7:D14,D26,E7:E14)</f>
        <v>9</v>
      </c>
      <c r="F26" s="62"/>
      <c r="G26" s="261"/>
      <c r="H26" s="261"/>
      <c r="I26" s="261">
        <f>SUMIF(D7:D14,D26,I7:I14)*G31</f>
        <v>81000000</v>
      </c>
      <c r="J26" s="262"/>
      <c r="K26" s="261">
        <f>I26*G30</f>
        <v>20250000</v>
      </c>
      <c r="L26" s="262"/>
      <c r="M26" s="278">
        <f>I26+K26</f>
        <v>101250000</v>
      </c>
    </row>
    <row r="27" spans="1:13" ht="18" customHeight="1" thickBot="1">
      <c r="A27" s="59"/>
      <c r="B27" s="53" t="s">
        <v>65</v>
      </c>
      <c r="C27" s="53"/>
      <c r="D27" s="59"/>
      <c r="E27" s="123">
        <f>SUM(E25:E26)</f>
        <v>13</v>
      </c>
      <c r="F27" s="69"/>
      <c r="G27" s="280"/>
      <c r="H27" s="280"/>
      <c r="I27" s="255">
        <f>SUM(I25:I26)</f>
        <v>135000000</v>
      </c>
      <c r="J27" s="258"/>
      <c r="K27" s="255">
        <f>SUM(K25:K26)</f>
        <v>33750000</v>
      </c>
      <c r="L27" s="258"/>
      <c r="M27" s="266">
        <f>SUM(M25:M26)</f>
        <v>168750000</v>
      </c>
    </row>
    <row r="28" spans="1:13" ht="12.75" customHeight="1" thickTop="1">
      <c r="A28" s="59"/>
      <c r="B28" s="53"/>
      <c r="C28" s="53"/>
      <c r="D28" s="59"/>
      <c r="E28" s="69"/>
      <c r="F28" s="69"/>
      <c r="G28" s="150"/>
      <c r="H28" s="150"/>
      <c r="I28" s="70"/>
      <c r="J28" s="70"/>
      <c r="K28" s="70"/>
      <c r="L28" s="70"/>
      <c r="M28" s="70"/>
    </row>
    <row r="29" spans="2:12" ht="12.75">
      <c r="B29" s="387" t="s">
        <v>447</v>
      </c>
      <c r="G29" s="22"/>
      <c r="L29" s="129"/>
    </row>
    <row r="30" spans="2:12" ht="12.75">
      <c r="B30" s="354" t="s">
        <v>87</v>
      </c>
      <c r="G30" s="22">
        <v>0.25</v>
      </c>
      <c r="I30" s="396" t="s">
        <v>508</v>
      </c>
      <c r="L30" s="129"/>
    </row>
    <row r="31" spans="2:12" ht="12.75">
      <c r="B31" s="354" t="s">
        <v>468</v>
      </c>
      <c r="G31" s="22">
        <v>12</v>
      </c>
      <c r="I31" s="396" t="s">
        <v>454</v>
      </c>
      <c r="L31" s="129"/>
    </row>
    <row r="32" spans="2:12" ht="12.75">
      <c r="B32" s="354" t="s">
        <v>509</v>
      </c>
      <c r="G32" s="22">
        <v>0.1</v>
      </c>
      <c r="I32" s="396" t="s">
        <v>510</v>
      </c>
      <c r="L32" s="129"/>
    </row>
    <row r="33" spans="7:12" ht="12.75">
      <c r="G33" s="22"/>
      <c r="L33" s="129"/>
    </row>
    <row r="34" spans="1:13" s="377" customFormat="1" ht="20.25">
      <c r="A34" s="352" t="s">
        <v>506</v>
      </c>
      <c r="G34" s="394"/>
      <c r="H34" s="394"/>
      <c r="I34" s="394"/>
      <c r="J34" s="394"/>
      <c r="K34" s="394"/>
      <c r="L34" s="394"/>
      <c r="M34" s="394"/>
    </row>
    <row r="35" spans="1:13" s="377" customFormat="1" ht="20.25">
      <c r="A35" s="355" t="s">
        <v>361</v>
      </c>
      <c r="B35" s="378"/>
      <c r="C35" s="378"/>
      <c r="D35" s="378"/>
      <c r="E35" s="378"/>
      <c r="F35" s="378"/>
      <c r="G35" s="395"/>
      <c r="H35" s="395"/>
      <c r="I35" s="395"/>
      <c r="J35" s="395"/>
      <c r="K35" s="395"/>
      <c r="L35" s="395"/>
      <c r="M35" s="395"/>
    </row>
    <row r="36" spans="1:13" ht="12.75">
      <c r="A36" s="48"/>
      <c r="B36" s="48"/>
      <c r="C36" s="48"/>
      <c r="D36" s="48"/>
      <c r="E36" s="48"/>
      <c r="F36" s="39"/>
      <c r="G36" s="142"/>
      <c r="H36" s="142"/>
      <c r="I36" s="142"/>
      <c r="J36" s="142"/>
      <c r="K36" s="142"/>
      <c r="L36" s="143"/>
      <c r="M36" s="142"/>
    </row>
    <row r="37" spans="1:13" ht="15.75">
      <c r="A37" s="133" t="s">
        <v>505</v>
      </c>
      <c r="B37" s="48"/>
      <c r="C37" s="48"/>
      <c r="D37" s="48"/>
      <c r="E37" s="48"/>
      <c r="F37" s="48"/>
      <c r="G37" s="142"/>
      <c r="H37" s="142"/>
      <c r="I37" s="142"/>
      <c r="J37" s="142"/>
      <c r="K37" s="142"/>
      <c r="L37" s="143"/>
      <c r="M37" s="151"/>
    </row>
    <row r="38" spans="1:13" ht="12.75">
      <c r="A38" s="52"/>
      <c r="B38" s="52"/>
      <c r="C38" s="52"/>
      <c r="D38" s="52"/>
      <c r="E38" s="52"/>
      <c r="F38" s="69"/>
      <c r="G38" s="144" t="s">
        <v>66</v>
      </c>
      <c r="H38" s="145"/>
      <c r="I38" s="144"/>
      <c r="J38" s="145"/>
      <c r="K38" s="144"/>
      <c r="L38" s="70"/>
      <c r="M38" s="146"/>
    </row>
    <row r="39" spans="1:13" ht="25.5">
      <c r="A39" s="134" t="s">
        <v>11</v>
      </c>
      <c r="B39" s="134" t="s">
        <v>228</v>
      </c>
      <c r="C39" s="104"/>
      <c r="D39" s="134" t="s">
        <v>67</v>
      </c>
      <c r="E39" s="134" t="s">
        <v>68</v>
      </c>
      <c r="F39" s="104"/>
      <c r="G39" s="147" t="s">
        <v>227</v>
      </c>
      <c r="H39" s="148"/>
      <c r="I39" s="147" t="s">
        <v>229</v>
      </c>
      <c r="J39" s="148"/>
      <c r="K39" s="147" t="s">
        <v>87</v>
      </c>
      <c r="L39" s="149"/>
      <c r="M39" s="147" t="s">
        <v>274</v>
      </c>
    </row>
    <row r="40" spans="1:13" ht="12.75">
      <c r="A40" s="51">
        <f aca="true" t="shared" si="1" ref="A40:A47">A7</f>
        <v>1</v>
      </c>
      <c r="B40" s="40" t="s">
        <v>70</v>
      </c>
      <c r="C40" s="62"/>
      <c r="D40" s="51" t="str">
        <f aca="true" t="shared" si="2" ref="D40:D47">D7</f>
        <v>F</v>
      </c>
      <c r="E40" s="135">
        <v>1</v>
      </c>
      <c r="F40" s="100"/>
      <c r="G40" s="261">
        <f>G7*(1+G32)</f>
        <v>2475000</v>
      </c>
      <c r="H40" s="262"/>
      <c r="I40" s="261">
        <f>E40*G40</f>
        <v>2475000</v>
      </c>
      <c r="J40" s="262"/>
      <c r="K40" s="261">
        <f>G30*I40</f>
        <v>618750</v>
      </c>
      <c r="L40" s="262"/>
      <c r="M40" s="261">
        <f>G31*(I40+K40)</f>
        <v>37125000</v>
      </c>
    </row>
    <row r="41" spans="1:13" ht="12.75">
      <c r="A41" s="51">
        <f t="shared" si="1"/>
        <v>2</v>
      </c>
      <c r="B41" s="40" t="s">
        <v>72</v>
      </c>
      <c r="D41" s="51" t="str">
        <f t="shared" si="2"/>
        <v>V</v>
      </c>
      <c r="E41" s="135">
        <v>1</v>
      </c>
      <c r="F41" s="100"/>
      <c r="G41" s="261">
        <f>G8*(1+G32)</f>
        <v>825000.0000000001</v>
      </c>
      <c r="H41" s="261"/>
      <c r="I41" s="261">
        <f aca="true" t="shared" si="3" ref="I41:I47">E41*G41</f>
        <v>825000.0000000001</v>
      </c>
      <c r="J41" s="261"/>
      <c r="K41" s="261">
        <f>G30*I41</f>
        <v>206250.00000000003</v>
      </c>
      <c r="L41" s="262"/>
      <c r="M41" s="261">
        <f>G31*(I41+K41)</f>
        <v>12375000.000000002</v>
      </c>
    </row>
    <row r="42" spans="1:13" ht="12.75">
      <c r="A42" s="51">
        <f t="shared" si="1"/>
        <v>3</v>
      </c>
      <c r="B42" s="40" t="s">
        <v>74</v>
      </c>
      <c r="D42" s="51" t="str">
        <f t="shared" si="2"/>
        <v>V</v>
      </c>
      <c r="E42" s="135">
        <v>1</v>
      </c>
      <c r="F42" s="100"/>
      <c r="G42" s="261">
        <f>G9*(1+G32)</f>
        <v>1650000.0000000002</v>
      </c>
      <c r="H42" s="261"/>
      <c r="I42" s="261">
        <f t="shared" si="3"/>
        <v>1650000.0000000002</v>
      </c>
      <c r="J42" s="261"/>
      <c r="K42" s="261">
        <f>G30*I42</f>
        <v>412500.00000000006</v>
      </c>
      <c r="L42" s="262"/>
      <c r="M42" s="261">
        <f>G31*(I42+K42)</f>
        <v>24750000.000000004</v>
      </c>
    </row>
    <row r="43" spans="1:13" ht="12.75">
      <c r="A43" s="51">
        <f t="shared" si="1"/>
        <v>3</v>
      </c>
      <c r="B43" s="40" t="s">
        <v>75</v>
      </c>
      <c r="D43" s="51" t="str">
        <f t="shared" si="2"/>
        <v>F</v>
      </c>
      <c r="E43" s="135">
        <v>1</v>
      </c>
      <c r="F43" s="100"/>
      <c r="G43" s="261">
        <f>G10*(1+G32)</f>
        <v>1375000</v>
      </c>
      <c r="H43" s="261"/>
      <c r="I43" s="261">
        <f t="shared" si="3"/>
        <v>1375000</v>
      </c>
      <c r="J43" s="261"/>
      <c r="K43" s="261">
        <f>G30*I43</f>
        <v>343750</v>
      </c>
      <c r="L43" s="262"/>
      <c r="M43" s="261">
        <f>G31*(I43+K43)</f>
        <v>20625000</v>
      </c>
    </row>
    <row r="44" spans="1:13" ht="12.75">
      <c r="A44" s="51">
        <f t="shared" si="1"/>
        <v>4</v>
      </c>
      <c r="B44" s="40" t="s">
        <v>76</v>
      </c>
      <c r="D44" s="51" t="str">
        <f t="shared" si="2"/>
        <v>V</v>
      </c>
      <c r="E44" s="135">
        <v>2</v>
      </c>
      <c r="F44" s="100"/>
      <c r="G44" s="261">
        <f>G11*(1+G32)</f>
        <v>825000.0000000001</v>
      </c>
      <c r="H44" s="261"/>
      <c r="I44" s="261">
        <f t="shared" si="3"/>
        <v>1650000.0000000002</v>
      </c>
      <c r="J44" s="261"/>
      <c r="K44" s="261">
        <f>G30*I44</f>
        <v>412500.00000000006</v>
      </c>
      <c r="L44" s="262"/>
      <c r="M44" s="261">
        <f>G31*(I44+K44)</f>
        <v>24750000.000000004</v>
      </c>
    </row>
    <row r="45" spans="1:13" ht="12.75">
      <c r="A45" s="51">
        <f t="shared" si="1"/>
        <v>4</v>
      </c>
      <c r="B45" s="40" t="s">
        <v>77</v>
      </c>
      <c r="D45" s="51" t="str">
        <f t="shared" si="2"/>
        <v>V</v>
      </c>
      <c r="E45" s="135">
        <v>2</v>
      </c>
      <c r="F45" s="100"/>
      <c r="G45" s="261">
        <f>G12*(1+G32)</f>
        <v>825000.0000000001</v>
      </c>
      <c r="H45" s="261"/>
      <c r="I45" s="261">
        <f t="shared" si="3"/>
        <v>1650000.0000000002</v>
      </c>
      <c r="J45" s="261"/>
      <c r="K45" s="261">
        <f>G30*I45</f>
        <v>412500.00000000006</v>
      </c>
      <c r="L45" s="262"/>
      <c r="M45" s="261">
        <f>G31*(I45+K45)</f>
        <v>24750000.000000004</v>
      </c>
    </row>
    <row r="46" spans="1:13" ht="12.75">
      <c r="A46" s="51">
        <f t="shared" si="1"/>
        <v>5</v>
      </c>
      <c r="B46" s="40" t="s">
        <v>78</v>
      </c>
      <c r="D46" s="51" t="str">
        <f t="shared" si="2"/>
        <v>V</v>
      </c>
      <c r="E46" s="135">
        <v>4</v>
      </c>
      <c r="F46" s="100"/>
      <c r="G46" s="261">
        <f>G13*(1+G32)</f>
        <v>550000</v>
      </c>
      <c r="H46" s="261"/>
      <c r="I46" s="261">
        <f t="shared" si="3"/>
        <v>2200000</v>
      </c>
      <c r="J46" s="261"/>
      <c r="K46" s="261">
        <f>G30*I46</f>
        <v>550000</v>
      </c>
      <c r="L46" s="262"/>
      <c r="M46" s="261">
        <f>G31*(I46+K46)</f>
        <v>33000000</v>
      </c>
    </row>
    <row r="47" spans="1:13" ht="12.75">
      <c r="A47" s="51">
        <f t="shared" si="1"/>
        <v>5</v>
      </c>
      <c r="B47" s="40" t="s">
        <v>79</v>
      </c>
      <c r="D47" s="51" t="str">
        <f t="shared" si="2"/>
        <v>F</v>
      </c>
      <c r="E47" s="137">
        <v>2</v>
      </c>
      <c r="F47" s="100"/>
      <c r="G47" s="261">
        <f>G14*(1+G32)</f>
        <v>550000</v>
      </c>
      <c r="H47" s="261"/>
      <c r="I47" s="261">
        <f t="shared" si="3"/>
        <v>1100000</v>
      </c>
      <c r="J47" s="262"/>
      <c r="K47" s="261">
        <f>G30*I47</f>
        <v>275000</v>
      </c>
      <c r="L47" s="262"/>
      <c r="M47" s="261">
        <f>G31*(I47+K47)</f>
        <v>16500000</v>
      </c>
    </row>
    <row r="48" spans="1:13" ht="13.5" thickBot="1">
      <c r="A48" s="59"/>
      <c r="B48" s="53" t="s">
        <v>65</v>
      </c>
      <c r="C48" s="53"/>
      <c r="D48" s="59"/>
      <c r="E48" s="119">
        <f>SUM(E40:E47)</f>
        <v>14</v>
      </c>
      <c r="F48" s="122"/>
      <c r="G48" s="286"/>
      <c r="H48" s="257"/>
      <c r="I48" s="255">
        <f>SUM(I40:I47)</f>
        <v>12925000</v>
      </c>
      <c r="J48" s="258"/>
      <c r="K48" s="255">
        <f>SUM(K40:K47)</f>
        <v>3231250</v>
      </c>
      <c r="L48" s="258"/>
      <c r="M48" s="255">
        <f>SUM(M40:M47)</f>
        <v>193875000</v>
      </c>
    </row>
    <row r="49" spans="1:13" ht="13.5" thickTop="1">
      <c r="A49" s="59"/>
      <c r="B49" s="53"/>
      <c r="C49" s="53"/>
      <c r="D49" s="59"/>
      <c r="E49" s="122"/>
      <c r="F49" s="122"/>
      <c r="G49" s="280"/>
      <c r="H49" s="280"/>
      <c r="I49" s="258"/>
      <c r="J49" s="287"/>
      <c r="K49" s="258"/>
      <c r="L49" s="258"/>
      <c r="M49" s="258"/>
    </row>
    <row r="50" spans="5:13" ht="12.75">
      <c r="E50" s="50"/>
      <c r="F50" s="118"/>
      <c r="G50" s="261"/>
      <c r="H50" s="261"/>
      <c r="I50" s="288" t="s">
        <v>230</v>
      </c>
      <c r="J50" s="288"/>
      <c r="K50" s="289"/>
      <c r="L50" s="289"/>
      <c r="M50" s="289"/>
    </row>
    <row r="51" spans="1:13" ht="25.5">
      <c r="A51" s="138"/>
      <c r="B51" s="117" t="s">
        <v>410</v>
      </c>
      <c r="C51" s="138"/>
      <c r="D51" s="138"/>
      <c r="E51" s="78"/>
      <c r="F51" s="78"/>
      <c r="G51" s="278"/>
      <c r="H51" s="261"/>
      <c r="I51" s="283" t="s">
        <v>229</v>
      </c>
      <c r="J51" s="290"/>
      <c r="K51" s="283" t="s">
        <v>87</v>
      </c>
      <c r="L51" s="290"/>
      <c r="M51" s="283" t="s">
        <v>69</v>
      </c>
    </row>
    <row r="52" spans="1:13" ht="12.75">
      <c r="A52" s="51">
        <v>1</v>
      </c>
      <c r="B52" s="40" t="s">
        <v>80</v>
      </c>
      <c r="E52" s="50">
        <f>SUMIF(A40:A47,A52,E40:E47)</f>
        <v>1</v>
      </c>
      <c r="F52" s="100"/>
      <c r="G52" s="261"/>
      <c r="H52" s="261"/>
      <c r="I52" s="261">
        <f>SUMIF(A40:A47,A52,I40:I47)*G31</f>
        <v>29700000</v>
      </c>
      <c r="J52" s="261"/>
      <c r="K52" s="261">
        <f>I52*G30</f>
        <v>7425000</v>
      </c>
      <c r="L52" s="262"/>
      <c r="M52" s="261">
        <f>I52+K52</f>
        <v>37125000</v>
      </c>
    </row>
    <row r="53" spans="1:13" ht="12.75">
      <c r="A53" s="51">
        <v>2</v>
      </c>
      <c r="B53" s="40" t="s">
        <v>81</v>
      </c>
      <c r="E53" s="50">
        <f>SUMIF(A40:A47,A53,E40:E47)</f>
        <v>1</v>
      </c>
      <c r="F53" s="100"/>
      <c r="G53" s="261"/>
      <c r="H53" s="261"/>
      <c r="I53" s="261">
        <f>SUMIF(A40:A47,A53,I40:I47)*G31</f>
        <v>9900000.000000002</v>
      </c>
      <c r="J53" s="261"/>
      <c r="K53" s="261">
        <f>I53*G30</f>
        <v>2475000.0000000005</v>
      </c>
      <c r="L53" s="262"/>
      <c r="M53" s="261">
        <f>I53+K53</f>
        <v>12375000.000000002</v>
      </c>
    </row>
    <row r="54" spans="1:13" ht="12.75">
      <c r="A54" s="51">
        <v>3</v>
      </c>
      <c r="B54" s="40" t="s">
        <v>82</v>
      </c>
      <c r="E54" s="50">
        <f>SUMIF(A40:A47,A54,E40:E47)</f>
        <v>2</v>
      </c>
      <c r="F54" s="100"/>
      <c r="G54" s="261"/>
      <c r="H54" s="261"/>
      <c r="I54" s="261">
        <f>SUMIF(A40:A47,A54,I40:I47)*G31</f>
        <v>36300000</v>
      </c>
      <c r="J54" s="261"/>
      <c r="K54" s="261">
        <f>I54*G30</f>
        <v>9075000</v>
      </c>
      <c r="L54" s="262"/>
      <c r="M54" s="261">
        <f>I54+K54</f>
        <v>45375000</v>
      </c>
    </row>
    <row r="55" spans="1:13" ht="12.75">
      <c r="A55" s="51">
        <v>4</v>
      </c>
      <c r="B55" s="40" t="s">
        <v>83</v>
      </c>
      <c r="E55" s="50">
        <f>SUMIF(A40:A47,A55,E40:E47)</f>
        <v>4</v>
      </c>
      <c r="F55" s="100"/>
      <c r="G55" s="261"/>
      <c r="H55" s="261"/>
      <c r="I55" s="261">
        <f>SUMIF(A40:A47,A55,I40:I47)*G31</f>
        <v>39600000.00000001</v>
      </c>
      <c r="J55" s="261"/>
      <c r="K55" s="261">
        <f>I55*G30</f>
        <v>9900000.000000002</v>
      </c>
      <c r="L55" s="262"/>
      <c r="M55" s="261">
        <f>I55+K55</f>
        <v>49500000.00000001</v>
      </c>
    </row>
    <row r="56" spans="1:13" ht="12.75">
      <c r="A56" s="51">
        <v>5</v>
      </c>
      <c r="B56" s="40" t="s">
        <v>84</v>
      </c>
      <c r="E56" s="50">
        <f>SUMIF(A40:A47,A56,E40:E47)</f>
        <v>6</v>
      </c>
      <c r="F56" s="100"/>
      <c r="G56" s="261"/>
      <c r="H56" s="261"/>
      <c r="I56" s="261">
        <f>SUMIF(A40:A47,A56,I40:I47)*G31</f>
        <v>39600000</v>
      </c>
      <c r="J56" s="262"/>
      <c r="K56" s="261">
        <f>I56*G30</f>
        <v>9900000</v>
      </c>
      <c r="L56" s="262"/>
      <c r="M56" s="278">
        <f>I56+K56</f>
        <v>49500000</v>
      </c>
    </row>
    <row r="57" spans="1:13" ht="13.5" thickBot="1">
      <c r="A57" s="59"/>
      <c r="B57" s="139" t="s">
        <v>65</v>
      </c>
      <c r="C57" s="139"/>
      <c r="D57" s="71"/>
      <c r="E57" s="123">
        <f>SUM(E52:E56)</f>
        <v>14</v>
      </c>
      <c r="F57" s="122"/>
      <c r="G57" s="280"/>
      <c r="H57" s="280"/>
      <c r="I57" s="255">
        <f>SUM(I52:I56)</f>
        <v>155100000</v>
      </c>
      <c r="J57" s="258"/>
      <c r="K57" s="255">
        <f>SUM(K52:K56)</f>
        <v>38775000</v>
      </c>
      <c r="L57" s="258"/>
      <c r="M57" s="266">
        <f>SUM(M52:M56)</f>
        <v>193875000</v>
      </c>
    </row>
    <row r="58" spans="2:13" ht="27.75" customHeight="1" thickTop="1">
      <c r="B58" s="40" t="s">
        <v>85</v>
      </c>
      <c r="D58" s="49" t="s">
        <v>71</v>
      </c>
      <c r="E58" s="50">
        <f>SUMIF(D40:D47,D58,E40:E47)</f>
        <v>4</v>
      </c>
      <c r="F58" s="118"/>
      <c r="G58" s="261"/>
      <c r="H58" s="261"/>
      <c r="I58" s="261">
        <f>SUMIF(D40:D47,D58,I40:I47)*G31</f>
        <v>59400000</v>
      </c>
      <c r="J58" s="262"/>
      <c r="K58" s="261">
        <f>I58*G30</f>
        <v>14850000</v>
      </c>
      <c r="L58" s="262"/>
      <c r="M58" s="261">
        <f>I58+K58</f>
        <v>74250000</v>
      </c>
    </row>
    <row r="59" spans="2:13" ht="12.75">
      <c r="B59" s="40" t="s">
        <v>86</v>
      </c>
      <c r="D59" s="49" t="s">
        <v>73</v>
      </c>
      <c r="E59" s="50">
        <f>SUMIF(D40:D47,D59,E40:E47)</f>
        <v>10</v>
      </c>
      <c r="F59" s="118"/>
      <c r="G59" s="261"/>
      <c r="H59" s="261"/>
      <c r="I59" s="261">
        <f>SUMIF(D40:D47,D59,I40:I47)*G31</f>
        <v>95700000.00000001</v>
      </c>
      <c r="J59" s="262"/>
      <c r="K59" s="261">
        <f>I59*G30</f>
        <v>23925000.000000004</v>
      </c>
      <c r="L59" s="262"/>
      <c r="M59" s="278">
        <f>I59+K59</f>
        <v>119625000.00000001</v>
      </c>
    </row>
    <row r="60" spans="1:13" ht="13.5" thickBot="1">
      <c r="A60" s="59"/>
      <c r="B60" s="53" t="s">
        <v>65</v>
      </c>
      <c r="C60" s="53"/>
      <c r="D60" s="59"/>
      <c r="E60" s="123">
        <f>SUM(E58:E59)</f>
        <v>14</v>
      </c>
      <c r="F60" s="122"/>
      <c r="G60" s="280"/>
      <c r="H60" s="280"/>
      <c r="I60" s="255">
        <f>SUM(I58:I59)</f>
        <v>155100000</v>
      </c>
      <c r="J60" s="258"/>
      <c r="K60" s="255">
        <f>SUM(K58:K59)</f>
        <v>38775000</v>
      </c>
      <c r="L60" s="258"/>
      <c r="M60" s="266">
        <f>SUM(M58:M59)</f>
        <v>193875000</v>
      </c>
    </row>
    <row r="61" spans="7:13" ht="13.5" thickTop="1">
      <c r="G61" s="284"/>
      <c r="H61" s="284"/>
      <c r="I61" s="284"/>
      <c r="J61" s="284"/>
      <c r="K61" s="284"/>
      <c r="L61" s="284"/>
      <c r="M61" s="284"/>
    </row>
    <row r="62" spans="7:13" ht="12.75">
      <c r="G62" s="284"/>
      <c r="H62" s="284"/>
      <c r="I62" s="284"/>
      <c r="J62" s="284"/>
      <c r="K62" s="284"/>
      <c r="L62" s="284"/>
      <c r="M62" s="284"/>
    </row>
    <row r="63" spans="7:13" ht="12.75">
      <c r="G63" s="284"/>
      <c r="H63" s="284"/>
      <c r="I63" s="284"/>
      <c r="J63" s="284"/>
      <c r="K63" s="284"/>
      <c r="L63" s="284"/>
      <c r="M63" s="284"/>
    </row>
    <row r="64" spans="7:13" ht="12.75">
      <c r="G64" s="284"/>
      <c r="H64" s="284"/>
      <c r="I64" s="284"/>
      <c r="J64" s="284"/>
      <c r="K64" s="284"/>
      <c r="L64" s="284"/>
      <c r="M64" s="284"/>
    </row>
    <row r="65" spans="7:13" ht="12.75">
      <c r="G65" s="284"/>
      <c r="H65" s="284"/>
      <c r="I65" s="284"/>
      <c r="J65" s="284"/>
      <c r="K65" s="284"/>
      <c r="L65" s="284"/>
      <c r="M65" s="284"/>
    </row>
    <row r="66" spans="7:13" ht="12.75">
      <c r="G66" s="284"/>
      <c r="H66" s="284"/>
      <c r="I66" s="284"/>
      <c r="J66" s="284"/>
      <c r="K66" s="284"/>
      <c r="L66" s="284"/>
      <c r="M66" s="284"/>
    </row>
    <row r="67" spans="1:13" s="87" customFormat="1" ht="20.25">
      <c r="A67" s="63" t="s">
        <v>511</v>
      </c>
      <c r="G67" s="291"/>
      <c r="H67" s="291"/>
      <c r="I67" s="291"/>
      <c r="J67" s="291"/>
      <c r="K67" s="291"/>
      <c r="L67" s="291"/>
      <c r="M67" s="291"/>
    </row>
    <row r="68" spans="1:13" s="87" customFormat="1" ht="20.25">
      <c r="A68" s="64" t="s">
        <v>361</v>
      </c>
      <c r="B68" s="88"/>
      <c r="C68" s="88"/>
      <c r="D68" s="88"/>
      <c r="E68" s="88"/>
      <c r="F68" s="88"/>
      <c r="G68" s="292"/>
      <c r="H68" s="292"/>
      <c r="I68" s="292"/>
      <c r="J68" s="292"/>
      <c r="K68" s="292"/>
      <c r="L68" s="292"/>
      <c r="M68" s="292"/>
    </row>
    <row r="69" spans="1:13" ht="12.75">
      <c r="A69" s="48"/>
      <c r="B69" s="48"/>
      <c r="C69" s="48"/>
      <c r="D69" s="48"/>
      <c r="E69" s="48"/>
      <c r="F69" s="39"/>
      <c r="G69" s="293"/>
      <c r="H69" s="293"/>
      <c r="I69" s="293"/>
      <c r="J69" s="293"/>
      <c r="K69" s="293"/>
      <c r="L69" s="294"/>
      <c r="M69" s="293"/>
    </row>
    <row r="70" spans="1:13" ht="15.75">
      <c r="A70" s="133" t="s">
        <v>512</v>
      </c>
      <c r="B70" s="48"/>
      <c r="C70" s="48"/>
      <c r="D70" s="48"/>
      <c r="E70" s="48"/>
      <c r="F70" s="48"/>
      <c r="G70" s="293"/>
      <c r="H70" s="293"/>
      <c r="I70" s="293"/>
      <c r="J70" s="293"/>
      <c r="K70" s="293"/>
      <c r="L70" s="294"/>
      <c r="M70" s="293"/>
    </row>
    <row r="71" spans="1:13" ht="12.75">
      <c r="A71" s="52"/>
      <c r="B71" s="52"/>
      <c r="C71" s="52"/>
      <c r="D71" s="52"/>
      <c r="E71" s="52"/>
      <c r="F71" s="69"/>
      <c r="G71" s="295" t="s">
        <v>66</v>
      </c>
      <c r="H71" s="296"/>
      <c r="I71" s="295"/>
      <c r="J71" s="296"/>
      <c r="K71" s="295"/>
      <c r="L71" s="297"/>
      <c r="M71" s="298"/>
    </row>
    <row r="72" spans="1:13" ht="25.5">
      <c r="A72" s="134" t="s">
        <v>11</v>
      </c>
      <c r="B72" s="134" t="s">
        <v>228</v>
      </c>
      <c r="C72" s="104"/>
      <c r="D72" s="134" t="s">
        <v>67</v>
      </c>
      <c r="E72" s="134" t="s">
        <v>68</v>
      </c>
      <c r="F72" s="104"/>
      <c r="G72" s="299" t="s">
        <v>227</v>
      </c>
      <c r="H72" s="300"/>
      <c r="I72" s="299" t="s">
        <v>229</v>
      </c>
      <c r="J72" s="300"/>
      <c r="K72" s="299" t="s">
        <v>87</v>
      </c>
      <c r="L72" s="301"/>
      <c r="M72" s="299" t="s">
        <v>274</v>
      </c>
    </row>
    <row r="73" spans="1:13" ht="12.75">
      <c r="A73" s="51">
        <f aca="true" t="shared" si="4" ref="A73:A80">A40</f>
        <v>1</v>
      </c>
      <c r="B73" s="40" t="s">
        <v>70</v>
      </c>
      <c r="C73" s="62"/>
      <c r="D73" s="51" t="str">
        <f aca="true" t="shared" si="5" ref="D73:D80">D40</f>
        <v>F</v>
      </c>
      <c r="E73" s="135">
        <v>1</v>
      </c>
      <c r="F73" s="100"/>
      <c r="G73" s="261">
        <f>G40*(1+G32)</f>
        <v>2722500</v>
      </c>
      <c r="H73" s="262"/>
      <c r="I73" s="261">
        <f>E73*G73</f>
        <v>2722500</v>
      </c>
      <c r="J73" s="262"/>
      <c r="K73" s="261">
        <f>G30*I73</f>
        <v>680625</v>
      </c>
      <c r="L73" s="262"/>
      <c r="M73" s="261">
        <f>G31*(I73+K73)</f>
        <v>40837500</v>
      </c>
    </row>
    <row r="74" spans="1:13" ht="12.75">
      <c r="A74" s="51">
        <f t="shared" si="4"/>
        <v>2</v>
      </c>
      <c r="B74" s="40" t="s">
        <v>72</v>
      </c>
      <c r="D74" s="51" t="str">
        <f t="shared" si="5"/>
        <v>V</v>
      </c>
      <c r="E74" s="135">
        <v>2</v>
      </c>
      <c r="F74" s="100"/>
      <c r="G74" s="261">
        <f>G41*(1+G32)</f>
        <v>907500.0000000002</v>
      </c>
      <c r="H74" s="261"/>
      <c r="I74" s="261">
        <f aca="true" t="shared" si="6" ref="I74:I80">E74*G74</f>
        <v>1815000.0000000005</v>
      </c>
      <c r="J74" s="261"/>
      <c r="K74" s="261">
        <f>G30*I74</f>
        <v>453750.0000000001</v>
      </c>
      <c r="L74" s="262"/>
      <c r="M74" s="261">
        <f>G31*(I74+K74)</f>
        <v>27225000.000000007</v>
      </c>
    </row>
    <row r="75" spans="1:13" ht="12.75">
      <c r="A75" s="51">
        <f t="shared" si="4"/>
        <v>3</v>
      </c>
      <c r="B75" s="40" t="s">
        <v>74</v>
      </c>
      <c r="D75" s="51" t="str">
        <f t="shared" si="5"/>
        <v>V</v>
      </c>
      <c r="E75" s="135">
        <v>1</v>
      </c>
      <c r="F75" s="100"/>
      <c r="G75" s="261">
        <f>G42*(1+G32)</f>
        <v>1815000.0000000005</v>
      </c>
      <c r="H75" s="261"/>
      <c r="I75" s="261">
        <f t="shared" si="6"/>
        <v>1815000.0000000005</v>
      </c>
      <c r="J75" s="261"/>
      <c r="K75" s="261">
        <f>G30*I75</f>
        <v>453750.0000000001</v>
      </c>
      <c r="L75" s="262"/>
      <c r="M75" s="261">
        <f>G31*(I75+K75)</f>
        <v>27225000.000000007</v>
      </c>
    </row>
    <row r="76" spans="1:13" ht="12.75">
      <c r="A76" s="51">
        <f t="shared" si="4"/>
        <v>3</v>
      </c>
      <c r="B76" s="40" t="s">
        <v>75</v>
      </c>
      <c r="D76" s="51" t="str">
        <f t="shared" si="5"/>
        <v>F</v>
      </c>
      <c r="E76" s="135">
        <v>2</v>
      </c>
      <c r="F76" s="100"/>
      <c r="G76" s="261">
        <f>G43*(1+G32)</f>
        <v>1512500.0000000002</v>
      </c>
      <c r="H76" s="261"/>
      <c r="I76" s="261">
        <f t="shared" si="6"/>
        <v>3025000.0000000005</v>
      </c>
      <c r="J76" s="261"/>
      <c r="K76" s="261">
        <f>G30*I76</f>
        <v>756250.0000000001</v>
      </c>
      <c r="L76" s="262"/>
      <c r="M76" s="261">
        <f>G31*(I76+K76)</f>
        <v>45375000.00000001</v>
      </c>
    </row>
    <row r="77" spans="1:13" ht="12.75">
      <c r="A77" s="51">
        <f t="shared" si="4"/>
        <v>4</v>
      </c>
      <c r="B77" s="40" t="s">
        <v>76</v>
      </c>
      <c r="D77" s="51" t="str">
        <f t="shared" si="5"/>
        <v>V</v>
      </c>
      <c r="E77" s="135">
        <v>2</v>
      </c>
      <c r="F77" s="100"/>
      <c r="G77" s="261">
        <f>G44*(1+G32)</f>
        <v>907500.0000000002</v>
      </c>
      <c r="H77" s="261"/>
      <c r="I77" s="261">
        <f t="shared" si="6"/>
        <v>1815000.0000000005</v>
      </c>
      <c r="J77" s="261"/>
      <c r="K77" s="261">
        <f>G30*I77</f>
        <v>453750.0000000001</v>
      </c>
      <c r="L77" s="262"/>
      <c r="M77" s="261">
        <f>G31*(I77+K77)</f>
        <v>27225000.000000007</v>
      </c>
    </row>
    <row r="78" spans="1:13" ht="12.75">
      <c r="A78" s="51">
        <f t="shared" si="4"/>
        <v>4</v>
      </c>
      <c r="B78" s="40" t="s">
        <v>77</v>
      </c>
      <c r="D78" s="51" t="str">
        <f t="shared" si="5"/>
        <v>V</v>
      </c>
      <c r="E78" s="135">
        <v>2</v>
      </c>
      <c r="F78" s="100"/>
      <c r="G78" s="261">
        <f>G45*(1+G32)</f>
        <v>907500.0000000002</v>
      </c>
      <c r="H78" s="261"/>
      <c r="I78" s="261">
        <f t="shared" si="6"/>
        <v>1815000.0000000005</v>
      </c>
      <c r="J78" s="261"/>
      <c r="K78" s="261">
        <f>G30*I78</f>
        <v>453750.0000000001</v>
      </c>
      <c r="L78" s="262"/>
      <c r="M78" s="261">
        <f>G31*(I78+K78)</f>
        <v>27225000.000000007</v>
      </c>
    </row>
    <row r="79" spans="1:13" ht="12.75">
      <c r="A79" s="51">
        <f t="shared" si="4"/>
        <v>5</v>
      </c>
      <c r="B79" s="40" t="s">
        <v>78</v>
      </c>
      <c r="D79" s="51" t="str">
        <f t="shared" si="5"/>
        <v>V</v>
      </c>
      <c r="E79" s="135">
        <v>5</v>
      </c>
      <c r="F79" s="100"/>
      <c r="G79" s="261">
        <f>G46*(1+G32)</f>
        <v>605000</v>
      </c>
      <c r="H79" s="261"/>
      <c r="I79" s="261">
        <f t="shared" si="6"/>
        <v>3025000</v>
      </c>
      <c r="J79" s="261"/>
      <c r="K79" s="261">
        <f>G30*I79</f>
        <v>756250</v>
      </c>
      <c r="L79" s="262"/>
      <c r="M79" s="261">
        <f>G31*(I79+K79)</f>
        <v>45375000</v>
      </c>
    </row>
    <row r="80" spans="1:13" ht="12.75">
      <c r="A80" s="51">
        <f t="shared" si="4"/>
        <v>5</v>
      </c>
      <c r="B80" s="40" t="s">
        <v>79</v>
      </c>
      <c r="D80" s="51" t="str">
        <f t="shared" si="5"/>
        <v>F</v>
      </c>
      <c r="E80" s="137">
        <v>2</v>
      </c>
      <c r="F80" s="100"/>
      <c r="G80" s="261">
        <f>G47*(1+G32)</f>
        <v>605000</v>
      </c>
      <c r="H80" s="261"/>
      <c r="I80" s="261">
        <f t="shared" si="6"/>
        <v>1210000</v>
      </c>
      <c r="J80" s="262"/>
      <c r="K80" s="261">
        <f>G30*I80</f>
        <v>302500</v>
      </c>
      <c r="L80" s="262"/>
      <c r="M80" s="261">
        <f>G31*(I80+K80)</f>
        <v>18150000</v>
      </c>
    </row>
    <row r="81" spans="1:13" ht="13.5" thickBot="1">
      <c r="A81" s="59"/>
      <c r="B81" s="53" t="s">
        <v>65</v>
      </c>
      <c r="C81" s="53"/>
      <c r="D81" s="59"/>
      <c r="E81" s="119">
        <f>SUM(E73:E80)</f>
        <v>17</v>
      </c>
      <c r="F81" s="122"/>
      <c r="G81" s="286"/>
      <c r="H81" s="257"/>
      <c r="I81" s="255">
        <f>SUM(I73:I80)</f>
        <v>17242500</v>
      </c>
      <c r="J81" s="258"/>
      <c r="K81" s="255">
        <f>SUM(K73:K80)</f>
        <v>4310625</v>
      </c>
      <c r="L81" s="258"/>
      <c r="M81" s="255">
        <f>SUM(M73:M80)</f>
        <v>258637500</v>
      </c>
    </row>
    <row r="82" spans="1:13" ht="13.5" thickTop="1">
      <c r="A82" s="59"/>
      <c r="B82" s="53"/>
      <c r="C82" s="53"/>
      <c r="D82" s="59"/>
      <c r="E82" s="69"/>
      <c r="F82" s="69"/>
      <c r="G82" s="302"/>
      <c r="H82" s="302"/>
      <c r="I82" s="297"/>
      <c r="J82" s="303"/>
      <c r="K82" s="297"/>
      <c r="L82" s="297"/>
      <c r="M82" s="297"/>
    </row>
    <row r="83" spans="6:13" ht="12.75">
      <c r="F83" s="62"/>
      <c r="G83" s="284"/>
      <c r="H83" s="284"/>
      <c r="I83" s="295" t="s">
        <v>230</v>
      </c>
      <c r="J83" s="295"/>
      <c r="K83" s="304"/>
      <c r="L83" s="304"/>
      <c r="M83" s="304"/>
    </row>
    <row r="84" spans="1:13" ht="25.5">
      <c r="A84" s="138"/>
      <c r="B84" s="117" t="s">
        <v>410</v>
      </c>
      <c r="C84" s="138"/>
      <c r="D84" s="138"/>
      <c r="E84" s="138"/>
      <c r="F84" s="138"/>
      <c r="G84" s="305"/>
      <c r="H84" s="284"/>
      <c r="I84" s="299" t="s">
        <v>229</v>
      </c>
      <c r="J84" s="306"/>
      <c r="K84" s="299" t="s">
        <v>87</v>
      </c>
      <c r="L84" s="306"/>
      <c r="M84" s="299" t="s">
        <v>69</v>
      </c>
    </row>
    <row r="85" spans="1:13" ht="12.75">
      <c r="A85" s="51">
        <v>1</v>
      </c>
      <c r="B85" s="40" t="s">
        <v>80</v>
      </c>
      <c r="E85" s="50">
        <f>SUMIF(A73:A80,A85,E73:E80)</f>
        <v>1</v>
      </c>
      <c r="F85" s="100"/>
      <c r="G85" s="261"/>
      <c r="H85" s="261"/>
      <c r="I85" s="261">
        <f>SUMIF(A73:A80,A85,I73:I80)*G31</f>
        <v>32670000</v>
      </c>
      <c r="J85" s="261"/>
      <c r="K85" s="261">
        <f>I85*G30</f>
        <v>8167500</v>
      </c>
      <c r="L85" s="262"/>
      <c r="M85" s="261">
        <f>I85+K85</f>
        <v>40837500</v>
      </c>
    </row>
    <row r="86" spans="1:13" ht="12.75">
      <c r="A86" s="51">
        <v>2</v>
      </c>
      <c r="B86" s="40" t="s">
        <v>81</v>
      </c>
      <c r="E86" s="50">
        <f>SUMIF(A73:A80,A86,E73:E80)</f>
        <v>2</v>
      </c>
      <c r="F86" s="100"/>
      <c r="G86" s="261"/>
      <c r="H86" s="261"/>
      <c r="I86" s="261">
        <f>SUMIF(A73:A80,A86,I73:I80)*G31</f>
        <v>21780000.000000007</v>
      </c>
      <c r="J86" s="261"/>
      <c r="K86" s="261">
        <f>I86*G30</f>
        <v>5445000.000000002</v>
      </c>
      <c r="L86" s="262"/>
      <c r="M86" s="261">
        <f>I86+K86</f>
        <v>27225000.000000007</v>
      </c>
    </row>
    <row r="87" spans="1:13" ht="12.75">
      <c r="A87" s="51">
        <v>3</v>
      </c>
      <c r="B87" s="40" t="s">
        <v>82</v>
      </c>
      <c r="E87" s="50">
        <f>SUMIF(A73:A80,A87,E73:E80)</f>
        <v>3</v>
      </c>
      <c r="F87" s="100"/>
      <c r="G87" s="261"/>
      <c r="H87" s="261"/>
      <c r="I87" s="261">
        <f>SUMIF(A73:A80,A87,I73:I80)*G31</f>
        <v>58080000.000000015</v>
      </c>
      <c r="J87" s="261"/>
      <c r="K87" s="261">
        <f>I87*G30</f>
        <v>14520000.000000004</v>
      </c>
      <c r="L87" s="262"/>
      <c r="M87" s="261">
        <f>I87+K87</f>
        <v>72600000.00000001</v>
      </c>
    </row>
    <row r="88" spans="1:13" ht="12.75">
      <c r="A88" s="51">
        <v>4</v>
      </c>
      <c r="B88" s="40" t="s">
        <v>83</v>
      </c>
      <c r="E88" s="50">
        <f>SUMIF(A73:A80,A88,E73:E80)</f>
        <v>4</v>
      </c>
      <c r="F88" s="100"/>
      <c r="G88" s="261"/>
      <c r="H88" s="261"/>
      <c r="I88" s="261">
        <f>SUMIF(A73:A80,A88,I73:I80)*G31</f>
        <v>43560000.000000015</v>
      </c>
      <c r="J88" s="261"/>
      <c r="K88" s="261">
        <f>I88*G30</f>
        <v>10890000.000000004</v>
      </c>
      <c r="L88" s="262"/>
      <c r="M88" s="261">
        <f>I88+K88</f>
        <v>54450000.000000015</v>
      </c>
    </row>
    <row r="89" spans="1:13" ht="12.75">
      <c r="A89" s="51">
        <v>5</v>
      </c>
      <c r="B89" s="40" t="s">
        <v>84</v>
      </c>
      <c r="E89" s="50">
        <f>SUMIF(A73:A80,A89,E73:E80)</f>
        <v>7</v>
      </c>
      <c r="F89" s="100"/>
      <c r="G89" s="261"/>
      <c r="H89" s="261"/>
      <c r="I89" s="261">
        <f>SUMIF(A73:A80,A89,I73:I80)*G31</f>
        <v>50820000</v>
      </c>
      <c r="J89" s="262"/>
      <c r="K89" s="261">
        <f>I89*G30</f>
        <v>12705000</v>
      </c>
      <c r="L89" s="262"/>
      <c r="M89" s="261">
        <f>I89+K89</f>
        <v>63525000</v>
      </c>
    </row>
    <row r="90" spans="1:13" ht="13.5" thickBot="1">
      <c r="A90" s="59"/>
      <c r="B90" s="139" t="s">
        <v>65</v>
      </c>
      <c r="C90" s="139"/>
      <c r="D90" s="71"/>
      <c r="E90" s="123">
        <f>SUM(E85:E89)</f>
        <v>17</v>
      </c>
      <c r="F90" s="122"/>
      <c r="G90" s="280"/>
      <c r="H90" s="280"/>
      <c r="I90" s="255">
        <f>SUM(I85:I89)</f>
        <v>206910000.00000006</v>
      </c>
      <c r="J90" s="258"/>
      <c r="K90" s="255">
        <f>SUM(K85:K89)</f>
        <v>51727500.000000015</v>
      </c>
      <c r="L90" s="258"/>
      <c r="M90" s="266">
        <f>SUM(M85:M89)</f>
        <v>258637500</v>
      </c>
    </row>
    <row r="91" spans="2:13" ht="13.5" thickTop="1">
      <c r="B91" s="40" t="s">
        <v>85</v>
      </c>
      <c r="D91" s="49" t="s">
        <v>71</v>
      </c>
      <c r="E91" s="50">
        <f>SUMIF(D73:D80,D91,E73:E80)</f>
        <v>5</v>
      </c>
      <c r="F91" s="118"/>
      <c r="G91" s="261"/>
      <c r="H91" s="261"/>
      <c r="I91" s="261">
        <f>SUMIF(D73:D80,D91,I73:I80)*G31</f>
        <v>83490000</v>
      </c>
      <c r="J91" s="262"/>
      <c r="K91" s="261">
        <f>I91*G30</f>
        <v>20872500</v>
      </c>
      <c r="L91" s="262"/>
      <c r="M91" s="261">
        <f>I91+K91</f>
        <v>104362500</v>
      </c>
    </row>
    <row r="92" spans="2:13" ht="12.75">
      <c r="B92" s="40" t="s">
        <v>86</v>
      </c>
      <c r="D92" s="49" t="s">
        <v>73</v>
      </c>
      <c r="E92" s="50">
        <f>SUMIF(D73:D80,D92,E73:E80)</f>
        <v>12</v>
      </c>
      <c r="F92" s="118"/>
      <c r="G92" s="261"/>
      <c r="H92" s="261"/>
      <c r="I92" s="261">
        <f>SUMIF(D73:D80,D92,I73:I80)*G31</f>
        <v>123420000.00000003</v>
      </c>
      <c r="J92" s="262"/>
      <c r="K92" s="261">
        <f>I92*G30</f>
        <v>30855000.000000007</v>
      </c>
      <c r="L92" s="262"/>
      <c r="M92" s="261">
        <f>I92+K92</f>
        <v>154275000.00000003</v>
      </c>
    </row>
    <row r="93" spans="1:13" ht="13.5" thickBot="1">
      <c r="A93" s="59"/>
      <c r="B93" s="53" t="s">
        <v>65</v>
      </c>
      <c r="C93" s="53"/>
      <c r="D93" s="59"/>
      <c r="E93" s="123">
        <f>SUM(E91:E92)</f>
        <v>17</v>
      </c>
      <c r="F93" s="122"/>
      <c r="G93" s="280"/>
      <c r="H93" s="280"/>
      <c r="I93" s="255">
        <f>SUM(I91:I92)</f>
        <v>206910000.00000003</v>
      </c>
      <c r="J93" s="258"/>
      <c r="K93" s="255">
        <f>SUM(K91:K92)</f>
        <v>51727500.00000001</v>
      </c>
      <c r="L93" s="258"/>
      <c r="M93" s="266">
        <f>SUM(M91:M92)</f>
        <v>258637500.00000003</v>
      </c>
    </row>
    <row r="94" spans="7:13" ht="13.5" thickTop="1">
      <c r="G94" s="284"/>
      <c r="H94" s="284"/>
      <c r="I94" s="284"/>
      <c r="J94" s="284"/>
      <c r="K94" s="284"/>
      <c r="L94" s="284"/>
      <c r="M94" s="284"/>
    </row>
    <row r="95" spans="1:13" s="87" customFormat="1" ht="20.25">
      <c r="A95" s="63" t="s">
        <v>513</v>
      </c>
      <c r="G95" s="291"/>
      <c r="H95" s="291"/>
      <c r="I95" s="291"/>
      <c r="J95" s="291"/>
      <c r="K95" s="291"/>
      <c r="L95" s="291"/>
      <c r="M95" s="291"/>
    </row>
    <row r="96" spans="1:13" s="87" customFormat="1" ht="20.25">
      <c r="A96" s="64" t="s">
        <v>361</v>
      </c>
      <c r="B96" s="88"/>
      <c r="C96" s="88"/>
      <c r="D96" s="88"/>
      <c r="E96" s="88"/>
      <c r="F96" s="88"/>
      <c r="G96" s="292"/>
      <c r="H96" s="292"/>
      <c r="I96" s="292"/>
      <c r="J96" s="292"/>
      <c r="K96" s="292"/>
      <c r="L96" s="292"/>
      <c r="M96" s="292"/>
    </row>
    <row r="97" spans="1:13" ht="12.75">
      <c r="A97" s="48"/>
      <c r="B97" s="48"/>
      <c r="C97" s="48"/>
      <c r="D97" s="48"/>
      <c r="E97" s="48"/>
      <c r="F97" s="39"/>
      <c r="G97" s="293"/>
      <c r="H97" s="293"/>
      <c r="I97" s="293"/>
      <c r="J97" s="293"/>
      <c r="K97" s="293"/>
      <c r="L97" s="294"/>
      <c r="M97" s="293"/>
    </row>
    <row r="98" spans="1:13" ht="15.75">
      <c r="A98" s="133" t="s">
        <v>514</v>
      </c>
      <c r="B98" s="48"/>
      <c r="C98" s="48"/>
      <c r="D98" s="48"/>
      <c r="E98" s="48"/>
      <c r="F98" s="48"/>
      <c r="G98" s="293"/>
      <c r="H98" s="293"/>
      <c r="I98" s="293"/>
      <c r="J98" s="293"/>
      <c r="K98" s="293"/>
      <c r="L98" s="294"/>
      <c r="M98" s="293"/>
    </row>
    <row r="99" spans="1:13" ht="12.75">
      <c r="A99" s="52"/>
      <c r="B99" s="52"/>
      <c r="C99" s="52"/>
      <c r="D99" s="52"/>
      <c r="E99" s="52"/>
      <c r="F99" s="69"/>
      <c r="G99" s="295" t="s">
        <v>66</v>
      </c>
      <c r="H99" s="296"/>
      <c r="I99" s="295"/>
      <c r="J99" s="296"/>
      <c r="K99" s="295"/>
      <c r="L99" s="297"/>
      <c r="M99" s="298"/>
    </row>
    <row r="100" spans="1:13" ht="25.5">
      <c r="A100" s="134" t="s">
        <v>11</v>
      </c>
      <c r="B100" s="134" t="s">
        <v>228</v>
      </c>
      <c r="C100" s="104"/>
      <c r="D100" s="134" t="s">
        <v>67</v>
      </c>
      <c r="E100" s="134" t="s">
        <v>68</v>
      </c>
      <c r="F100" s="104"/>
      <c r="G100" s="299" t="s">
        <v>227</v>
      </c>
      <c r="H100" s="300"/>
      <c r="I100" s="299" t="s">
        <v>229</v>
      </c>
      <c r="J100" s="300"/>
      <c r="K100" s="299" t="s">
        <v>87</v>
      </c>
      <c r="L100" s="301"/>
      <c r="M100" s="299" t="s">
        <v>274</v>
      </c>
    </row>
    <row r="101" spans="1:13" ht="12.75">
      <c r="A101" s="51">
        <f aca="true" t="shared" si="7" ref="A101:A108">A73</f>
        <v>1</v>
      </c>
      <c r="B101" s="40" t="s">
        <v>70</v>
      </c>
      <c r="C101" s="62"/>
      <c r="D101" s="51" t="str">
        <f aca="true" t="shared" si="8" ref="D101:D108">D73</f>
        <v>F</v>
      </c>
      <c r="E101" s="135">
        <v>1</v>
      </c>
      <c r="F101" s="100"/>
      <c r="G101" s="261">
        <f>G73*(1+G32)</f>
        <v>2994750.0000000005</v>
      </c>
      <c r="H101" s="262"/>
      <c r="I101" s="261">
        <f>E101*G101</f>
        <v>2994750.0000000005</v>
      </c>
      <c r="J101" s="262"/>
      <c r="K101" s="261">
        <f>G30*I101</f>
        <v>748687.5000000001</v>
      </c>
      <c r="L101" s="262"/>
      <c r="M101" s="261">
        <f>G31*(I101+K101)</f>
        <v>44921250.00000001</v>
      </c>
    </row>
    <row r="102" spans="1:13" ht="12.75">
      <c r="A102" s="51">
        <f t="shared" si="7"/>
        <v>2</v>
      </c>
      <c r="B102" s="40" t="s">
        <v>72</v>
      </c>
      <c r="D102" s="51" t="str">
        <f t="shared" si="8"/>
        <v>V</v>
      </c>
      <c r="E102" s="135">
        <v>2</v>
      </c>
      <c r="F102" s="100"/>
      <c r="G102" s="261">
        <f>G74*(1+G32)</f>
        <v>998250.0000000003</v>
      </c>
      <c r="H102" s="261"/>
      <c r="I102" s="261">
        <f aca="true" t="shared" si="9" ref="I102:I108">E102*G102</f>
        <v>1996500.0000000007</v>
      </c>
      <c r="J102" s="261"/>
      <c r="K102" s="261">
        <f>G30*I102</f>
        <v>499125.0000000002</v>
      </c>
      <c r="L102" s="262"/>
      <c r="M102" s="261">
        <f>G31*(I102+K102)</f>
        <v>29947500.00000001</v>
      </c>
    </row>
    <row r="103" spans="1:13" ht="12.75">
      <c r="A103" s="51">
        <f t="shared" si="7"/>
        <v>3</v>
      </c>
      <c r="B103" s="40" t="s">
        <v>74</v>
      </c>
      <c r="D103" s="51" t="str">
        <f t="shared" si="8"/>
        <v>V</v>
      </c>
      <c r="E103" s="135">
        <v>1</v>
      </c>
      <c r="F103" s="100"/>
      <c r="G103" s="261">
        <f>G75*(1+G32)</f>
        <v>1996500.0000000007</v>
      </c>
      <c r="H103" s="261"/>
      <c r="I103" s="261">
        <f t="shared" si="9"/>
        <v>1996500.0000000007</v>
      </c>
      <c r="J103" s="261"/>
      <c r="K103" s="261">
        <f>G30*I103</f>
        <v>499125.0000000002</v>
      </c>
      <c r="L103" s="262"/>
      <c r="M103" s="261">
        <f>G31*(I103+K103)</f>
        <v>29947500.00000001</v>
      </c>
    </row>
    <row r="104" spans="1:13" ht="12.75">
      <c r="A104" s="51">
        <f t="shared" si="7"/>
        <v>3</v>
      </c>
      <c r="B104" s="40" t="s">
        <v>75</v>
      </c>
      <c r="D104" s="51" t="str">
        <f t="shared" si="8"/>
        <v>F</v>
      </c>
      <c r="E104" s="135">
        <v>2</v>
      </c>
      <c r="F104" s="100"/>
      <c r="G104" s="261">
        <f>G76*(1+G32)</f>
        <v>1663750.0000000005</v>
      </c>
      <c r="H104" s="261"/>
      <c r="I104" s="261">
        <f t="shared" si="9"/>
        <v>3327500.000000001</v>
      </c>
      <c r="J104" s="261"/>
      <c r="K104" s="261">
        <f>G30*I104</f>
        <v>831875.0000000002</v>
      </c>
      <c r="L104" s="262"/>
      <c r="M104" s="261">
        <f>G31*(I104+K104)</f>
        <v>49912500.000000015</v>
      </c>
    </row>
    <row r="105" spans="1:13" ht="12.75">
      <c r="A105" s="51">
        <f t="shared" si="7"/>
        <v>4</v>
      </c>
      <c r="B105" s="40" t="s">
        <v>76</v>
      </c>
      <c r="D105" s="51" t="str">
        <f t="shared" si="8"/>
        <v>V</v>
      </c>
      <c r="E105" s="135">
        <v>2</v>
      </c>
      <c r="F105" s="100"/>
      <c r="G105" s="261">
        <f>G77*(1+G32)</f>
        <v>998250.0000000003</v>
      </c>
      <c r="H105" s="261"/>
      <c r="I105" s="261">
        <f t="shared" si="9"/>
        <v>1996500.0000000007</v>
      </c>
      <c r="J105" s="261"/>
      <c r="K105" s="261">
        <f>G30*I105</f>
        <v>499125.0000000002</v>
      </c>
      <c r="L105" s="262"/>
      <c r="M105" s="261">
        <f>G31*(I105+K105)</f>
        <v>29947500.00000001</v>
      </c>
    </row>
    <row r="106" spans="1:13" ht="12.75">
      <c r="A106" s="51">
        <f t="shared" si="7"/>
        <v>4</v>
      </c>
      <c r="B106" s="40" t="s">
        <v>77</v>
      </c>
      <c r="D106" s="51" t="str">
        <f t="shared" si="8"/>
        <v>V</v>
      </c>
      <c r="E106" s="135">
        <v>2</v>
      </c>
      <c r="F106" s="100"/>
      <c r="G106" s="261">
        <f>G78*(1+G32)</f>
        <v>998250.0000000003</v>
      </c>
      <c r="H106" s="261"/>
      <c r="I106" s="261">
        <f t="shared" si="9"/>
        <v>1996500.0000000007</v>
      </c>
      <c r="J106" s="261"/>
      <c r="K106" s="261">
        <f>G30*I106</f>
        <v>499125.0000000002</v>
      </c>
      <c r="L106" s="262"/>
      <c r="M106" s="261">
        <f>G31*(I106+K106)</f>
        <v>29947500.00000001</v>
      </c>
    </row>
    <row r="107" spans="1:13" ht="12.75">
      <c r="A107" s="51">
        <f t="shared" si="7"/>
        <v>5</v>
      </c>
      <c r="B107" s="40" t="s">
        <v>78</v>
      </c>
      <c r="D107" s="51" t="str">
        <f t="shared" si="8"/>
        <v>V</v>
      </c>
      <c r="E107" s="135">
        <v>6</v>
      </c>
      <c r="F107" s="100"/>
      <c r="G107" s="261">
        <f>G79*(1+G32)</f>
        <v>665500</v>
      </c>
      <c r="H107" s="261"/>
      <c r="I107" s="261">
        <f t="shared" si="9"/>
        <v>3993000</v>
      </c>
      <c r="J107" s="261"/>
      <c r="K107" s="261">
        <f>G30*I107</f>
        <v>998250</v>
      </c>
      <c r="L107" s="262"/>
      <c r="M107" s="261">
        <f>G31*(I107+K107)</f>
        <v>59895000</v>
      </c>
    </row>
    <row r="108" spans="1:13" ht="12.75">
      <c r="A108" s="51">
        <f t="shared" si="7"/>
        <v>5</v>
      </c>
      <c r="B108" s="40" t="s">
        <v>79</v>
      </c>
      <c r="D108" s="51" t="str">
        <f t="shared" si="8"/>
        <v>F</v>
      </c>
      <c r="E108" s="137">
        <v>2</v>
      </c>
      <c r="F108" s="100"/>
      <c r="G108" s="261">
        <f>G80*(1+G32)</f>
        <v>665500</v>
      </c>
      <c r="H108" s="261"/>
      <c r="I108" s="261">
        <f t="shared" si="9"/>
        <v>1331000</v>
      </c>
      <c r="J108" s="262"/>
      <c r="K108" s="261">
        <f>G30*I108</f>
        <v>332750</v>
      </c>
      <c r="L108" s="262"/>
      <c r="M108" s="261">
        <f>G31*(I108+K108)</f>
        <v>19965000</v>
      </c>
    </row>
    <row r="109" spans="1:13" ht="13.5" thickBot="1">
      <c r="A109" s="59"/>
      <c r="B109" s="53" t="s">
        <v>65</v>
      </c>
      <c r="C109" s="53"/>
      <c r="D109" s="59"/>
      <c r="E109" s="119">
        <f>SUM(E101:E108)</f>
        <v>18</v>
      </c>
      <c r="F109" s="122"/>
      <c r="G109" s="286"/>
      <c r="H109" s="257"/>
      <c r="I109" s="255">
        <f>SUM(I101:I108)</f>
        <v>19632250.000000004</v>
      </c>
      <c r="J109" s="258"/>
      <c r="K109" s="255">
        <f>SUM(K101:K108)</f>
        <v>4908062.500000001</v>
      </c>
      <c r="L109" s="258"/>
      <c r="M109" s="255">
        <f>SUM(M101:M108)</f>
        <v>294483750.00000006</v>
      </c>
    </row>
    <row r="110" spans="1:13" ht="13.5" thickTop="1">
      <c r="A110" s="59"/>
      <c r="B110" s="53"/>
      <c r="C110" s="53"/>
      <c r="D110" s="59"/>
      <c r="E110" s="69"/>
      <c r="F110" s="69"/>
      <c r="G110" s="302"/>
      <c r="H110" s="302"/>
      <c r="I110" s="297"/>
      <c r="J110" s="303"/>
      <c r="K110" s="297"/>
      <c r="L110" s="297"/>
      <c r="M110" s="297"/>
    </row>
    <row r="111" spans="6:13" ht="12.75">
      <c r="F111" s="62"/>
      <c r="G111" s="284"/>
      <c r="H111" s="284"/>
      <c r="I111" s="295" t="s">
        <v>230</v>
      </c>
      <c r="J111" s="295"/>
      <c r="K111" s="304"/>
      <c r="L111" s="304"/>
      <c r="M111" s="304"/>
    </row>
    <row r="112" spans="1:13" ht="25.5">
      <c r="A112" s="138"/>
      <c r="B112" s="117" t="s">
        <v>410</v>
      </c>
      <c r="C112" s="138"/>
      <c r="D112" s="138"/>
      <c r="E112" s="138"/>
      <c r="F112" s="138"/>
      <c r="G112" s="305"/>
      <c r="H112" s="284"/>
      <c r="I112" s="299" t="s">
        <v>229</v>
      </c>
      <c r="J112" s="306"/>
      <c r="K112" s="299" t="s">
        <v>87</v>
      </c>
      <c r="L112" s="306"/>
      <c r="M112" s="299" t="s">
        <v>69</v>
      </c>
    </row>
    <row r="113" spans="1:13" ht="12.75">
      <c r="A113" s="51">
        <v>1</v>
      </c>
      <c r="B113" s="40" t="s">
        <v>80</v>
      </c>
      <c r="E113" s="50">
        <f>SUMIF(A101:A108,A113,E101:E108)</f>
        <v>1</v>
      </c>
      <c r="F113" s="100"/>
      <c r="G113" s="261"/>
      <c r="H113" s="261"/>
      <c r="I113" s="261">
        <f>SUMIF(A101:A108,A113,I101:I108)*G31</f>
        <v>35937000.00000001</v>
      </c>
      <c r="J113" s="261"/>
      <c r="K113" s="261">
        <f>I113*G30</f>
        <v>8984250.000000002</v>
      </c>
      <c r="L113" s="262"/>
      <c r="M113" s="261">
        <f>I113+K113</f>
        <v>44921250.00000001</v>
      </c>
    </row>
    <row r="114" spans="1:13" ht="12.75">
      <c r="A114" s="51">
        <v>2</v>
      </c>
      <c r="B114" s="40" t="s">
        <v>81</v>
      </c>
      <c r="E114" s="50">
        <f>SUMIF(A101:A108,A114,E101:E108)</f>
        <v>2</v>
      </c>
      <c r="F114" s="100"/>
      <c r="G114" s="261"/>
      <c r="H114" s="261"/>
      <c r="I114" s="261">
        <f>SUMIF(A101:A108,A114,I101:I108)*G31</f>
        <v>23958000.000000007</v>
      </c>
      <c r="J114" s="261"/>
      <c r="K114" s="261">
        <f>I114*G30</f>
        <v>5989500.000000002</v>
      </c>
      <c r="L114" s="262"/>
      <c r="M114" s="261">
        <f>I114+K114</f>
        <v>29947500.000000007</v>
      </c>
    </row>
    <row r="115" spans="1:13" ht="12.75">
      <c r="A115" s="51">
        <v>3</v>
      </c>
      <c r="B115" s="40" t="s">
        <v>82</v>
      </c>
      <c r="E115" s="50">
        <f>SUMIF(A101:A108,A115,E101:E108)</f>
        <v>3</v>
      </c>
      <c r="F115" s="100"/>
      <c r="G115" s="261"/>
      <c r="H115" s="261"/>
      <c r="I115" s="261">
        <f>SUMIF(A101:A108,A115,I101:I108)*G31</f>
        <v>63888000.00000002</v>
      </c>
      <c r="J115" s="261"/>
      <c r="K115" s="261">
        <f>I115*G30</f>
        <v>15972000.000000006</v>
      </c>
      <c r="L115" s="262"/>
      <c r="M115" s="261">
        <f>I115+K115</f>
        <v>79860000.00000003</v>
      </c>
    </row>
    <row r="116" spans="1:13" ht="12.75">
      <c r="A116" s="51">
        <v>4</v>
      </c>
      <c r="B116" s="40" t="s">
        <v>83</v>
      </c>
      <c r="E116" s="50">
        <f>SUMIF(A101:A108,A116,E101:E108)</f>
        <v>4</v>
      </c>
      <c r="F116" s="100"/>
      <c r="G116" s="261"/>
      <c r="H116" s="261"/>
      <c r="I116" s="261">
        <f>SUMIF(A101:A108,A116,I101:I108)*G31</f>
        <v>47916000.000000015</v>
      </c>
      <c r="J116" s="261"/>
      <c r="K116" s="261">
        <f>I116*G30</f>
        <v>11979000.000000004</v>
      </c>
      <c r="L116" s="262"/>
      <c r="M116" s="261">
        <f>I116+K116</f>
        <v>59895000.000000015</v>
      </c>
    </row>
    <row r="117" spans="1:13" ht="12.75">
      <c r="A117" s="51">
        <v>5</v>
      </c>
      <c r="B117" s="40" t="s">
        <v>84</v>
      </c>
      <c r="E117" s="50">
        <f>SUMIF(A101:A108,A117,E101:E108)</f>
        <v>8</v>
      </c>
      <c r="F117" s="100"/>
      <c r="G117" s="261"/>
      <c r="H117" s="261"/>
      <c r="I117" s="261">
        <f>SUMIF(A101:A108,A117,I101:I108)*G31</f>
        <v>63888000</v>
      </c>
      <c r="J117" s="262"/>
      <c r="K117" s="261">
        <f>I117*G30</f>
        <v>15972000</v>
      </c>
      <c r="L117" s="262"/>
      <c r="M117" s="261">
        <f>I117+K117</f>
        <v>79860000</v>
      </c>
    </row>
    <row r="118" spans="1:13" ht="13.5" thickBot="1">
      <c r="A118" s="59"/>
      <c r="B118" s="139" t="s">
        <v>65</v>
      </c>
      <c r="C118" s="139"/>
      <c r="D118" s="71"/>
      <c r="E118" s="123">
        <f>SUM(E113:E117)</f>
        <v>18</v>
      </c>
      <c r="F118" s="122"/>
      <c r="G118" s="280"/>
      <c r="H118" s="280"/>
      <c r="I118" s="255">
        <f>SUM(I113:I117)</f>
        <v>235587000.00000006</v>
      </c>
      <c r="J118" s="258"/>
      <c r="K118" s="255">
        <f>SUM(K113:K117)</f>
        <v>58896750.000000015</v>
      </c>
      <c r="L118" s="258"/>
      <c r="M118" s="266">
        <f>SUM(M113:M117)</f>
        <v>294483750.00000006</v>
      </c>
    </row>
    <row r="119" spans="2:13" ht="13.5" thickTop="1">
      <c r="B119" s="40" t="s">
        <v>85</v>
      </c>
      <c r="D119" s="49" t="s">
        <v>71</v>
      </c>
      <c r="E119" s="50">
        <f>SUMIF(D101:D108,D119,E101:E108)</f>
        <v>5</v>
      </c>
      <c r="F119" s="118"/>
      <c r="G119" s="261"/>
      <c r="H119" s="261"/>
      <c r="I119" s="261">
        <f>SUMIF(D101:D108,D119,I101:I108)*G31</f>
        <v>91839000.00000003</v>
      </c>
      <c r="J119" s="262"/>
      <c r="K119" s="261">
        <f>I119*G30</f>
        <v>22959750.000000007</v>
      </c>
      <c r="L119" s="262"/>
      <c r="M119" s="261">
        <f>I119+K119</f>
        <v>114798750.00000003</v>
      </c>
    </row>
    <row r="120" spans="2:13" ht="12.75">
      <c r="B120" s="40" t="s">
        <v>86</v>
      </c>
      <c r="D120" s="49" t="s">
        <v>73</v>
      </c>
      <c r="E120" s="50">
        <f>SUMIF(D101:D108,D120,E101:E108)</f>
        <v>13</v>
      </c>
      <c r="F120" s="118"/>
      <c r="G120" s="261"/>
      <c r="H120" s="261"/>
      <c r="I120" s="261">
        <f>SUMIF(D101:D108,D120,I101:I108)*G31</f>
        <v>143748000.00000006</v>
      </c>
      <c r="J120" s="262"/>
      <c r="K120" s="261">
        <f>I120*G30</f>
        <v>35937000.000000015</v>
      </c>
      <c r="L120" s="262"/>
      <c r="M120" s="261">
        <f>I120+K120</f>
        <v>179685000.00000006</v>
      </c>
    </row>
    <row r="121" spans="1:13" ht="13.5" thickBot="1">
      <c r="A121" s="59"/>
      <c r="B121" s="53" t="s">
        <v>65</v>
      </c>
      <c r="C121" s="53"/>
      <c r="D121" s="59"/>
      <c r="E121" s="123">
        <f>SUM(E119:E120)</f>
        <v>18</v>
      </c>
      <c r="F121" s="122"/>
      <c r="G121" s="280"/>
      <c r="H121" s="280"/>
      <c r="I121" s="255">
        <f>SUM(I119:I120)</f>
        <v>235587000.0000001</v>
      </c>
      <c r="J121" s="258"/>
      <c r="K121" s="255">
        <f>SUM(K119:K120)</f>
        <v>58896750.00000002</v>
      </c>
      <c r="L121" s="258"/>
      <c r="M121" s="266">
        <f>SUM(M119:M120)</f>
        <v>294483750.0000001</v>
      </c>
    </row>
    <row r="122" spans="7:13" ht="13.5" thickTop="1">
      <c r="G122" s="284"/>
      <c r="H122" s="284"/>
      <c r="I122" s="284"/>
      <c r="J122" s="284"/>
      <c r="K122" s="284"/>
      <c r="L122" s="284"/>
      <c r="M122" s="284"/>
    </row>
    <row r="123" spans="1:13" s="87" customFormat="1" ht="20.25">
      <c r="A123" s="63" t="s">
        <v>515</v>
      </c>
      <c r="G123" s="291"/>
      <c r="H123" s="291"/>
      <c r="I123" s="291"/>
      <c r="J123" s="291"/>
      <c r="K123" s="291"/>
      <c r="L123" s="291"/>
      <c r="M123" s="291"/>
    </row>
    <row r="124" spans="1:13" s="87" customFormat="1" ht="20.25">
      <c r="A124" s="64" t="s">
        <v>361</v>
      </c>
      <c r="B124" s="88"/>
      <c r="C124" s="88"/>
      <c r="D124" s="88"/>
      <c r="E124" s="88"/>
      <c r="F124" s="88"/>
      <c r="G124" s="292"/>
      <c r="H124" s="292"/>
      <c r="I124" s="292"/>
      <c r="J124" s="292"/>
      <c r="K124" s="292"/>
      <c r="L124" s="292"/>
      <c r="M124" s="292"/>
    </row>
    <row r="125" spans="1:13" ht="12.75">
      <c r="A125" s="48"/>
      <c r="B125" s="48"/>
      <c r="C125" s="48"/>
      <c r="D125" s="48"/>
      <c r="E125" s="48"/>
      <c r="F125" s="39"/>
      <c r="G125" s="293"/>
      <c r="H125" s="293"/>
      <c r="I125" s="293"/>
      <c r="J125" s="293"/>
      <c r="K125" s="293"/>
      <c r="L125" s="294"/>
      <c r="M125" s="293"/>
    </row>
    <row r="126" spans="1:13" ht="15.75">
      <c r="A126" s="133" t="s">
        <v>516</v>
      </c>
      <c r="B126" s="48"/>
      <c r="C126" s="48"/>
      <c r="D126" s="48"/>
      <c r="E126" s="48"/>
      <c r="F126" s="48"/>
      <c r="G126" s="293"/>
      <c r="H126" s="293"/>
      <c r="I126" s="293"/>
      <c r="J126" s="293"/>
      <c r="K126" s="293"/>
      <c r="L126" s="294"/>
      <c r="M126" s="307"/>
    </row>
    <row r="127" spans="1:13" ht="12.75">
      <c r="A127" s="52"/>
      <c r="B127" s="52"/>
      <c r="C127" s="52"/>
      <c r="D127" s="52"/>
      <c r="E127" s="52"/>
      <c r="F127" s="69"/>
      <c r="G127" s="295" t="s">
        <v>66</v>
      </c>
      <c r="H127" s="296"/>
      <c r="I127" s="295"/>
      <c r="J127" s="296"/>
      <c r="K127" s="295"/>
      <c r="L127" s="297"/>
      <c r="M127" s="298"/>
    </row>
    <row r="128" spans="1:13" ht="25.5">
      <c r="A128" s="134" t="s">
        <v>11</v>
      </c>
      <c r="B128" s="134" t="s">
        <v>228</v>
      </c>
      <c r="C128" s="104"/>
      <c r="D128" s="134" t="s">
        <v>67</v>
      </c>
      <c r="E128" s="134" t="s">
        <v>68</v>
      </c>
      <c r="F128" s="104"/>
      <c r="G128" s="299" t="s">
        <v>227</v>
      </c>
      <c r="H128" s="300"/>
      <c r="I128" s="299" t="s">
        <v>229</v>
      </c>
      <c r="J128" s="300"/>
      <c r="K128" s="299" t="s">
        <v>87</v>
      </c>
      <c r="L128" s="301"/>
      <c r="M128" s="299" t="s">
        <v>274</v>
      </c>
    </row>
    <row r="129" spans="1:13" ht="12.75">
      <c r="A129" s="51">
        <f aca="true" t="shared" si="10" ref="A129:A136">A101</f>
        <v>1</v>
      </c>
      <c r="B129" s="40" t="s">
        <v>70</v>
      </c>
      <c r="C129" s="62"/>
      <c r="D129" s="51" t="str">
        <f aca="true" t="shared" si="11" ref="D129:D136">D101</f>
        <v>F</v>
      </c>
      <c r="E129" s="135">
        <v>1</v>
      </c>
      <c r="F129" s="100"/>
      <c r="G129" s="261">
        <f>G101*(1+G32)</f>
        <v>3294225.000000001</v>
      </c>
      <c r="H129" s="262"/>
      <c r="I129" s="261">
        <f>E129*G129</f>
        <v>3294225.000000001</v>
      </c>
      <c r="J129" s="262"/>
      <c r="K129" s="261">
        <f>G30*I129</f>
        <v>823556.2500000002</v>
      </c>
      <c r="L129" s="262"/>
      <c r="M129" s="261">
        <f>G31*(I129+K129)</f>
        <v>49413375.000000015</v>
      </c>
    </row>
    <row r="130" spans="1:13" ht="12.75">
      <c r="A130" s="51">
        <f t="shared" si="10"/>
        <v>2</v>
      </c>
      <c r="B130" s="40" t="s">
        <v>72</v>
      </c>
      <c r="D130" s="51" t="str">
        <f t="shared" si="11"/>
        <v>V</v>
      </c>
      <c r="E130" s="135">
        <v>2</v>
      </c>
      <c r="F130" s="100"/>
      <c r="G130" s="261">
        <f>G102*(1+G32)</f>
        <v>1098075.0000000005</v>
      </c>
      <c r="H130" s="261"/>
      <c r="I130" s="261">
        <f aca="true" t="shared" si="12" ref="I130:I136">E130*G130</f>
        <v>2196150.000000001</v>
      </c>
      <c r="J130" s="261"/>
      <c r="K130" s="261">
        <f>G30*I130</f>
        <v>549037.5000000002</v>
      </c>
      <c r="L130" s="262"/>
      <c r="M130" s="261">
        <f>G31*(I130+K130)</f>
        <v>32942250.00000001</v>
      </c>
    </row>
    <row r="131" spans="1:13" ht="12.75">
      <c r="A131" s="51">
        <f t="shared" si="10"/>
        <v>3</v>
      </c>
      <c r="B131" s="40" t="s">
        <v>74</v>
      </c>
      <c r="D131" s="51" t="str">
        <f t="shared" si="11"/>
        <v>V</v>
      </c>
      <c r="E131" s="135">
        <v>1</v>
      </c>
      <c r="F131" s="100"/>
      <c r="G131" s="261">
        <f>G103*(1+G32)</f>
        <v>2196150.000000001</v>
      </c>
      <c r="H131" s="261"/>
      <c r="I131" s="261">
        <f t="shared" si="12"/>
        <v>2196150.000000001</v>
      </c>
      <c r="J131" s="261"/>
      <c r="K131" s="261">
        <f>G30*I131</f>
        <v>549037.5000000002</v>
      </c>
      <c r="L131" s="262"/>
      <c r="M131" s="261">
        <f>G31*(I131+K131)</f>
        <v>32942250.00000001</v>
      </c>
    </row>
    <row r="132" spans="1:13" ht="12.75">
      <c r="A132" s="51">
        <f t="shared" si="10"/>
        <v>3</v>
      </c>
      <c r="B132" s="40" t="s">
        <v>75</v>
      </c>
      <c r="D132" s="51" t="str">
        <f t="shared" si="11"/>
        <v>F</v>
      </c>
      <c r="E132" s="135">
        <v>2</v>
      </c>
      <c r="F132" s="100"/>
      <c r="G132" s="261">
        <f>G104*(1+G32)</f>
        <v>1830125.0000000007</v>
      </c>
      <c r="H132" s="261"/>
      <c r="I132" s="261">
        <f t="shared" si="12"/>
        <v>3660250.0000000014</v>
      </c>
      <c r="J132" s="261"/>
      <c r="K132" s="261">
        <f>G30*I132</f>
        <v>915062.5000000003</v>
      </c>
      <c r="L132" s="262"/>
      <c r="M132" s="261">
        <f>G31*(I132+K132)</f>
        <v>54903750.00000002</v>
      </c>
    </row>
    <row r="133" spans="1:13" ht="12.75">
      <c r="A133" s="51">
        <f t="shared" si="10"/>
        <v>4</v>
      </c>
      <c r="B133" s="40" t="s">
        <v>76</v>
      </c>
      <c r="D133" s="51" t="str">
        <f t="shared" si="11"/>
        <v>V</v>
      </c>
      <c r="E133" s="135">
        <v>2</v>
      </c>
      <c r="F133" s="100"/>
      <c r="G133" s="261">
        <f>G105*(1+G32)</f>
        <v>1098075.0000000005</v>
      </c>
      <c r="H133" s="261"/>
      <c r="I133" s="261">
        <f t="shared" si="12"/>
        <v>2196150.000000001</v>
      </c>
      <c r="J133" s="261"/>
      <c r="K133" s="261">
        <f>G30*I133</f>
        <v>549037.5000000002</v>
      </c>
      <c r="L133" s="262"/>
      <c r="M133" s="261">
        <f>G31*(I133+K133)</f>
        <v>32942250.00000001</v>
      </c>
    </row>
    <row r="134" spans="1:13" ht="12.75">
      <c r="A134" s="51">
        <f t="shared" si="10"/>
        <v>4</v>
      </c>
      <c r="B134" s="40" t="s">
        <v>77</v>
      </c>
      <c r="D134" s="51" t="str">
        <f t="shared" si="11"/>
        <v>V</v>
      </c>
      <c r="E134" s="135">
        <v>2</v>
      </c>
      <c r="F134" s="100"/>
      <c r="G134" s="261">
        <f>G106*(1+G32)</f>
        <v>1098075.0000000005</v>
      </c>
      <c r="H134" s="261"/>
      <c r="I134" s="261">
        <f t="shared" si="12"/>
        <v>2196150.000000001</v>
      </c>
      <c r="J134" s="261"/>
      <c r="K134" s="261">
        <f>G30*I134</f>
        <v>549037.5000000002</v>
      </c>
      <c r="L134" s="262"/>
      <c r="M134" s="261">
        <f>G31*(I134+K134)</f>
        <v>32942250.00000001</v>
      </c>
    </row>
    <row r="135" spans="1:13" ht="12.75">
      <c r="A135" s="51">
        <f t="shared" si="10"/>
        <v>5</v>
      </c>
      <c r="B135" s="40" t="s">
        <v>78</v>
      </c>
      <c r="D135" s="51" t="str">
        <f t="shared" si="11"/>
        <v>V</v>
      </c>
      <c r="E135" s="135">
        <v>7</v>
      </c>
      <c r="F135" s="100"/>
      <c r="G135" s="261">
        <f>G107*(1+G32)</f>
        <v>732050.0000000001</v>
      </c>
      <c r="H135" s="261"/>
      <c r="I135" s="261">
        <f t="shared" si="12"/>
        <v>5124350.000000001</v>
      </c>
      <c r="J135" s="261"/>
      <c r="K135" s="261">
        <f>G30*I135</f>
        <v>1281087.5000000002</v>
      </c>
      <c r="L135" s="262"/>
      <c r="M135" s="261">
        <f>G31*(I135+K135)</f>
        <v>76865250.00000001</v>
      </c>
    </row>
    <row r="136" spans="1:13" ht="12.75">
      <c r="A136" s="51">
        <f t="shared" si="10"/>
        <v>5</v>
      </c>
      <c r="B136" s="40" t="s">
        <v>79</v>
      </c>
      <c r="D136" s="51" t="str">
        <f t="shared" si="11"/>
        <v>F</v>
      </c>
      <c r="E136" s="137">
        <v>2</v>
      </c>
      <c r="F136" s="100"/>
      <c r="G136" s="261">
        <f>G108*(1+G32)</f>
        <v>732050.0000000001</v>
      </c>
      <c r="H136" s="261"/>
      <c r="I136" s="261">
        <f t="shared" si="12"/>
        <v>1464100.0000000002</v>
      </c>
      <c r="J136" s="262"/>
      <c r="K136" s="261">
        <f>G30*I136</f>
        <v>366025.00000000006</v>
      </c>
      <c r="L136" s="262"/>
      <c r="M136" s="261">
        <f>G31*(I136+K136)</f>
        <v>21961500.000000004</v>
      </c>
    </row>
    <row r="137" spans="1:13" ht="13.5" thickBot="1">
      <c r="A137" s="59"/>
      <c r="B137" s="53" t="s">
        <v>65</v>
      </c>
      <c r="C137" s="53"/>
      <c r="D137" s="59"/>
      <c r="E137" s="119">
        <f>SUM(E129:E136)</f>
        <v>19</v>
      </c>
      <c r="F137" s="122"/>
      <c r="G137" s="286"/>
      <c r="H137" s="257"/>
      <c r="I137" s="255">
        <f>SUM(I129:I136)</f>
        <v>22327525.000000004</v>
      </c>
      <c r="J137" s="258"/>
      <c r="K137" s="255">
        <f>SUM(K129:K136)</f>
        <v>5581881.250000001</v>
      </c>
      <c r="L137" s="258"/>
      <c r="M137" s="255">
        <f>SUM(M129:M136)</f>
        <v>334912875.00000006</v>
      </c>
    </row>
    <row r="138" spans="1:13" ht="13.5" thickTop="1">
      <c r="A138" s="59"/>
      <c r="B138" s="53"/>
      <c r="C138" s="53"/>
      <c r="D138" s="59"/>
      <c r="E138" s="69"/>
      <c r="F138" s="69"/>
      <c r="G138" s="302"/>
      <c r="H138" s="302"/>
      <c r="I138" s="297"/>
      <c r="J138" s="303"/>
      <c r="K138" s="297"/>
      <c r="L138" s="297"/>
      <c r="M138" s="297"/>
    </row>
    <row r="139" spans="6:13" ht="12.75">
      <c r="F139" s="62"/>
      <c r="G139" s="284"/>
      <c r="H139" s="284"/>
      <c r="I139" s="295" t="s">
        <v>230</v>
      </c>
      <c r="J139" s="295"/>
      <c r="K139" s="304"/>
      <c r="L139" s="304"/>
      <c r="M139" s="304"/>
    </row>
    <row r="140" spans="1:13" ht="25.5">
      <c r="A140" s="138"/>
      <c r="B140" s="117" t="s">
        <v>410</v>
      </c>
      <c r="C140" s="138"/>
      <c r="D140" s="138"/>
      <c r="E140" s="138"/>
      <c r="F140" s="138"/>
      <c r="G140" s="305"/>
      <c r="H140" s="284"/>
      <c r="I140" s="299" t="s">
        <v>229</v>
      </c>
      <c r="J140" s="306"/>
      <c r="K140" s="299" t="s">
        <v>87</v>
      </c>
      <c r="L140" s="306"/>
      <c r="M140" s="299" t="s">
        <v>69</v>
      </c>
    </row>
    <row r="141" spans="1:13" ht="12.75">
      <c r="A141" s="51">
        <v>1</v>
      </c>
      <c r="B141" s="40" t="s">
        <v>80</v>
      </c>
      <c r="E141" s="50">
        <f>SUMIF(A129:A136,A141,E129:E136)</f>
        <v>1</v>
      </c>
      <c r="F141" s="100"/>
      <c r="G141" s="261"/>
      <c r="H141" s="261"/>
      <c r="I141" s="261">
        <f>SUMIF(A129:A136,A141,I129:I136)*G31</f>
        <v>39530700.000000015</v>
      </c>
      <c r="J141" s="261"/>
      <c r="K141" s="261">
        <f>I141*G30</f>
        <v>9882675.000000004</v>
      </c>
      <c r="L141" s="262"/>
      <c r="M141" s="261">
        <f>I141+K141</f>
        <v>49413375.000000015</v>
      </c>
    </row>
    <row r="142" spans="1:13" ht="12.75">
      <c r="A142" s="51">
        <v>2</v>
      </c>
      <c r="B142" s="40" t="s">
        <v>81</v>
      </c>
      <c r="E142" s="50">
        <f>SUMIF(A129:A136,A142,E129:E136)</f>
        <v>2</v>
      </c>
      <c r="F142" s="100"/>
      <c r="G142" s="261"/>
      <c r="H142" s="261"/>
      <c r="I142" s="261">
        <f>SUMIF(A129:A136,A142,I129:I136)*G31</f>
        <v>26353800.00000001</v>
      </c>
      <c r="J142" s="261"/>
      <c r="K142" s="261">
        <f>I142*G30</f>
        <v>6588450.000000003</v>
      </c>
      <c r="L142" s="262"/>
      <c r="M142" s="261">
        <f>I142+K142</f>
        <v>32942250.000000015</v>
      </c>
    </row>
    <row r="143" spans="1:13" ht="12.75">
      <c r="A143" s="51">
        <v>3</v>
      </c>
      <c r="B143" s="40" t="s">
        <v>82</v>
      </c>
      <c r="E143" s="50">
        <f>SUMIF(A129:A136,A143,E129:E136)</f>
        <v>3</v>
      </c>
      <c r="F143" s="100"/>
      <c r="G143" s="261"/>
      <c r="H143" s="261"/>
      <c r="I143" s="261">
        <f>SUMIF(A129:A136,A143,I129:I136)*G31</f>
        <v>70276800.00000003</v>
      </c>
      <c r="J143" s="261"/>
      <c r="K143" s="261">
        <f>I143*G30</f>
        <v>17569200.000000007</v>
      </c>
      <c r="L143" s="262"/>
      <c r="M143" s="261">
        <f>I143+K143</f>
        <v>87846000.00000003</v>
      </c>
    </row>
    <row r="144" spans="1:13" ht="12.75">
      <c r="A144" s="51">
        <v>4</v>
      </c>
      <c r="B144" s="40" t="s">
        <v>83</v>
      </c>
      <c r="E144" s="50">
        <f>SUMIF(A129:A136,A144,E129:E136)</f>
        <v>4</v>
      </c>
      <c r="F144" s="100"/>
      <c r="G144" s="261"/>
      <c r="H144" s="261"/>
      <c r="I144" s="261">
        <f>SUMIF(A129:A136,A144,I129:I136)*G31</f>
        <v>52707600.00000002</v>
      </c>
      <c r="J144" s="261"/>
      <c r="K144" s="261">
        <f>I144*G30</f>
        <v>13176900.000000006</v>
      </c>
      <c r="L144" s="262"/>
      <c r="M144" s="261">
        <f>I144+K144</f>
        <v>65884500.00000003</v>
      </c>
    </row>
    <row r="145" spans="1:13" ht="12.75">
      <c r="A145" s="51">
        <v>5</v>
      </c>
      <c r="B145" s="40" t="s">
        <v>84</v>
      </c>
      <c r="E145" s="50">
        <f>SUMIF(A129:A136,A145,E129:E136)</f>
        <v>9</v>
      </c>
      <c r="F145" s="100"/>
      <c r="G145" s="261"/>
      <c r="H145" s="261"/>
      <c r="I145" s="261">
        <f>SUMIF(A129:A136,A145,I129:I136)*G31</f>
        <v>79061400.00000001</v>
      </c>
      <c r="J145" s="262"/>
      <c r="K145" s="261">
        <f>I145*G30</f>
        <v>19765350.000000004</v>
      </c>
      <c r="L145" s="262"/>
      <c r="M145" s="278">
        <f>I145+K145</f>
        <v>98826750.00000001</v>
      </c>
    </row>
    <row r="146" spans="1:13" ht="13.5" thickBot="1">
      <c r="A146" s="59"/>
      <c r="B146" s="139" t="s">
        <v>65</v>
      </c>
      <c r="C146" s="139"/>
      <c r="D146" s="71"/>
      <c r="E146" s="123">
        <f>SUM(E141:E145)</f>
        <v>19</v>
      </c>
      <c r="F146" s="122"/>
      <c r="G146" s="280"/>
      <c r="H146" s="280"/>
      <c r="I146" s="255">
        <f>SUM(I141:I145)</f>
        <v>267930300.00000012</v>
      </c>
      <c r="J146" s="258"/>
      <c r="K146" s="255">
        <f>SUM(K141:K145)</f>
        <v>66982575.00000003</v>
      </c>
      <c r="L146" s="258"/>
      <c r="M146" s="266">
        <f>SUM(M141:M145)</f>
        <v>334912875.0000001</v>
      </c>
    </row>
    <row r="147" spans="2:13" ht="13.5" thickTop="1">
      <c r="B147" s="40" t="s">
        <v>85</v>
      </c>
      <c r="D147" s="49" t="s">
        <v>71</v>
      </c>
      <c r="E147" s="50">
        <f>SUMIF(D129:D136,D147,E129:E136)</f>
        <v>5</v>
      </c>
      <c r="F147" s="118"/>
      <c r="G147" s="261"/>
      <c r="H147" s="261"/>
      <c r="I147" s="261">
        <f>SUMIF(D129:D136,D147,I129:I136)*G31</f>
        <v>101022900.00000003</v>
      </c>
      <c r="J147" s="262"/>
      <c r="K147" s="261">
        <f>I147*G30</f>
        <v>25255725.000000007</v>
      </c>
      <c r="L147" s="262"/>
      <c r="M147" s="261">
        <f>I147+K147</f>
        <v>126278625.00000003</v>
      </c>
    </row>
    <row r="148" spans="2:13" ht="12.75">
      <c r="B148" s="40" t="s">
        <v>86</v>
      </c>
      <c r="D148" s="49" t="s">
        <v>73</v>
      </c>
      <c r="E148" s="50">
        <f>SUMIF(D129:D136,D148,E129:E136)</f>
        <v>14</v>
      </c>
      <c r="F148" s="118"/>
      <c r="G148" s="261"/>
      <c r="H148" s="261"/>
      <c r="I148" s="261">
        <f>SUMIF(D129:D136,D148,I129:I136)*G31</f>
        <v>166907400.00000006</v>
      </c>
      <c r="J148" s="262"/>
      <c r="K148" s="261">
        <f>I148*G30</f>
        <v>41726850.000000015</v>
      </c>
      <c r="L148" s="262"/>
      <c r="M148" s="278">
        <f>I148+K148</f>
        <v>208634250.00000006</v>
      </c>
    </row>
    <row r="149" spans="1:13" ht="13.5" thickBot="1">
      <c r="A149" s="59"/>
      <c r="B149" s="53" t="s">
        <v>65</v>
      </c>
      <c r="C149" s="53"/>
      <c r="D149" s="59"/>
      <c r="E149" s="123">
        <f>SUM(E147:E148)</f>
        <v>19</v>
      </c>
      <c r="F149" s="122"/>
      <c r="G149" s="280"/>
      <c r="H149" s="280"/>
      <c r="I149" s="255">
        <f>SUM(I147:I148)</f>
        <v>267930300.0000001</v>
      </c>
      <c r="J149" s="258"/>
      <c r="K149" s="255">
        <f>SUM(K147:K148)</f>
        <v>66982575.00000002</v>
      </c>
      <c r="L149" s="258"/>
      <c r="M149" s="266">
        <f>SUM(M147:M148)</f>
        <v>334912875.0000001</v>
      </c>
    </row>
    <row r="150" spans="7:13" ht="13.5" thickTop="1">
      <c r="G150" s="284"/>
      <c r="H150" s="284"/>
      <c r="I150" s="284"/>
      <c r="J150" s="284"/>
      <c r="K150" s="284"/>
      <c r="L150" s="284"/>
      <c r="M150" s="284"/>
    </row>
    <row r="151" spans="7:13" ht="12.75">
      <c r="G151" s="284"/>
      <c r="H151" s="284"/>
      <c r="I151" s="284"/>
      <c r="J151" s="284"/>
      <c r="K151" s="284"/>
      <c r="L151" s="284"/>
      <c r="M151" s="284"/>
    </row>
    <row r="152" spans="7:13" ht="12.75">
      <c r="G152" s="284"/>
      <c r="H152" s="284"/>
      <c r="I152" s="284"/>
      <c r="J152" s="284"/>
      <c r="K152" s="284"/>
      <c r="L152" s="284"/>
      <c r="M152" s="284"/>
    </row>
    <row r="153" spans="7:13" ht="12.75">
      <c r="G153" s="284"/>
      <c r="H153" s="284"/>
      <c r="I153" s="284"/>
      <c r="J153" s="284"/>
      <c r="K153" s="284"/>
      <c r="L153" s="284"/>
      <c r="M153" s="284"/>
    </row>
    <row r="154" spans="7:13" ht="12.75">
      <c r="G154" s="284"/>
      <c r="H154" s="284"/>
      <c r="I154" s="284"/>
      <c r="J154" s="284"/>
      <c r="K154" s="284"/>
      <c r="L154" s="284"/>
      <c r="M154" s="284"/>
    </row>
  </sheetData>
  <printOptions horizontalCentered="1" verticalCentered="1"/>
  <pageMargins left="0.3937007874015748" right="0.75" top="1" bottom="1" header="0" footer="0"/>
  <pageSetup horizontalDpi="200" verticalDpi="200" orientation="portrait" paperSize="9" r:id="rId1"/>
  <ignoredErrors>
    <ignoredError sqref="M24 I20 I53 E53 M57 G102 M146 M1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40" bestFit="1" customWidth="1"/>
    <col min="2" max="2" width="7.7109375" style="40" customWidth="1"/>
    <col min="3" max="3" width="12.7109375" style="40" customWidth="1"/>
    <col min="4" max="7" width="12.7109375" style="40" bestFit="1" customWidth="1"/>
    <col min="8" max="16384" width="11.421875" style="40" customWidth="1"/>
  </cols>
  <sheetData>
    <row r="1" s="377" customFormat="1" ht="24" customHeight="1">
      <c r="A1" s="352" t="s">
        <v>178</v>
      </c>
    </row>
    <row r="2" spans="1:7" s="377" customFormat="1" ht="24" customHeight="1">
      <c r="A2" s="355" t="s">
        <v>361</v>
      </c>
      <c r="B2" s="382"/>
      <c r="C2" s="382"/>
      <c r="D2" s="382"/>
      <c r="E2" s="382"/>
      <c r="F2" s="382"/>
      <c r="G2" s="382"/>
    </row>
    <row r="3" ht="12.75">
      <c r="A3" s="59"/>
    </row>
    <row r="4" spans="1:7" ht="15.75">
      <c r="A4" s="152" t="s">
        <v>273</v>
      </c>
      <c r="B4" s="90"/>
      <c r="C4" s="90"/>
      <c r="D4" s="90"/>
      <c r="E4" s="90"/>
      <c r="F4" s="90"/>
      <c r="G4" s="90"/>
    </row>
    <row r="5" ht="12.75" customHeight="1">
      <c r="A5" s="48"/>
    </row>
    <row r="6" spans="2:7" ht="37.5" customHeight="1">
      <c r="B6" s="5" t="s">
        <v>3</v>
      </c>
      <c r="C6" s="5" t="s">
        <v>4</v>
      </c>
      <c r="D6" s="5" t="s">
        <v>608</v>
      </c>
      <c r="E6" s="5" t="s">
        <v>609</v>
      </c>
      <c r="F6" s="5" t="s">
        <v>610</v>
      </c>
      <c r="G6" s="5" t="s">
        <v>611</v>
      </c>
    </row>
    <row r="7" spans="1:7" ht="15" customHeight="1">
      <c r="A7" s="52" t="s">
        <v>315</v>
      </c>
      <c r="B7" s="153"/>
      <c r="C7" s="153"/>
      <c r="D7" s="153"/>
      <c r="E7" s="153"/>
      <c r="F7" s="153"/>
      <c r="G7" s="153"/>
    </row>
    <row r="8" spans="1:7" ht="12.75" customHeight="1">
      <c r="A8" s="40" t="s">
        <v>176</v>
      </c>
      <c r="B8" s="154"/>
      <c r="C8" s="154">
        <f>'C6'!E25</f>
        <v>4</v>
      </c>
      <c r="D8" s="154">
        <f>'C6'!E58</f>
        <v>4</v>
      </c>
      <c r="E8" s="154">
        <f>'C6'!E91</f>
        <v>5</v>
      </c>
      <c r="F8" s="154">
        <f>'C6'!E119</f>
        <v>5</v>
      </c>
      <c r="G8" s="154">
        <f>'C6'!E147</f>
        <v>5</v>
      </c>
    </row>
    <row r="9" spans="1:7" ht="12.75" customHeight="1">
      <c r="A9" s="40" t="s">
        <v>177</v>
      </c>
      <c r="B9" s="155"/>
      <c r="C9" s="154">
        <f>'C6'!E26</f>
        <v>9</v>
      </c>
      <c r="D9" s="154">
        <f>'C6'!E59</f>
        <v>10</v>
      </c>
      <c r="E9" s="154">
        <f>'C6'!E92</f>
        <v>12</v>
      </c>
      <c r="F9" s="154">
        <f>'C6'!E120</f>
        <v>13</v>
      </c>
      <c r="G9" s="154">
        <f>'C6'!E148</f>
        <v>14</v>
      </c>
    </row>
    <row r="10" spans="1:7" ht="15" customHeight="1" thickBot="1">
      <c r="A10" s="52" t="s">
        <v>435</v>
      </c>
      <c r="B10" s="123"/>
      <c r="C10" s="156">
        <f>'C6'!E27</f>
        <v>13</v>
      </c>
      <c r="D10" s="156">
        <f>'C6'!E60</f>
        <v>14</v>
      </c>
      <c r="E10" s="156">
        <f>'C6'!E93</f>
        <v>17</v>
      </c>
      <c r="F10" s="156">
        <f>'C6'!E121</f>
        <v>18</v>
      </c>
      <c r="G10" s="156">
        <f>'C6'!E149</f>
        <v>19</v>
      </c>
    </row>
    <row r="11" spans="1:7" ht="15" customHeight="1" thickTop="1">
      <c r="A11" s="52" t="s">
        <v>231</v>
      </c>
      <c r="B11" s="50"/>
      <c r="C11" s="308"/>
      <c r="D11" s="308"/>
      <c r="E11" s="308"/>
      <c r="F11" s="308"/>
      <c r="G11" s="308"/>
    </row>
    <row r="12" spans="1:7" ht="12.75" customHeight="1">
      <c r="A12" s="40" t="s">
        <v>176</v>
      </c>
      <c r="B12" s="22"/>
      <c r="C12" s="245">
        <f>'C6'!I25</f>
        <v>54000000</v>
      </c>
      <c r="D12" s="245">
        <f>'C6'!I58</f>
        <v>59400000</v>
      </c>
      <c r="E12" s="245">
        <f>'C6'!I91</f>
        <v>83490000</v>
      </c>
      <c r="F12" s="245">
        <f>'C6'!I119</f>
        <v>91839000.00000003</v>
      </c>
      <c r="G12" s="245">
        <f>'C6'!I147</f>
        <v>101022900.00000003</v>
      </c>
    </row>
    <row r="13" spans="1:7" ht="12.75" customHeight="1">
      <c r="A13" s="40" t="s">
        <v>177</v>
      </c>
      <c r="B13" s="22"/>
      <c r="C13" s="245">
        <f>'C6'!I26</f>
        <v>81000000</v>
      </c>
      <c r="D13" s="245">
        <f>'C6'!I59</f>
        <v>95700000.00000001</v>
      </c>
      <c r="E13" s="245">
        <f>'C6'!I92</f>
        <v>123420000.00000003</v>
      </c>
      <c r="F13" s="245">
        <f>'C6'!I120</f>
        <v>143748000.00000006</v>
      </c>
      <c r="G13" s="245">
        <f>'C6'!I148</f>
        <v>166907400.00000006</v>
      </c>
    </row>
    <row r="14" spans="1:7" ht="15" customHeight="1" thickBot="1">
      <c r="A14" s="52" t="s">
        <v>231</v>
      </c>
      <c r="B14" s="55"/>
      <c r="C14" s="250">
        <f>C12+C13</f>
        <v>135000000</v>
      </c>
      <c r="D14" s="250">
        <f>D12+D13</f>
        <v>155100000</v>
      </c>
      <c r="E14" s="250">
        <f>E12+E13</f>
        <v>206910000.00000003</v>
      </c>
      <c r="F14" s="250">
        <f>F12+F13</f>
        <v>235587000.0000001</v>
      </c>
      <c r="G14" s="250">
        <f>G12+G13</f>
        <v>267930300.0000001</v>
      </c>
    </row>
    <row r="15" spans="1:7" ht="15" customHeight="1" thickTop="1">
      <c r="A15" s="52" t="s">
        <v>232</v>
      </c>
      <c r="B15" s="22"/>
      <c r="C15" s="245"/>
      <c r="D15" s="245"/>
      <c r="E15" s="245"/>
      <c r="F15" s="245"/>
      <c r="G15" s="245"/>
    </row>
    <row r="16" spans="1:7" ht="13.5" customHeight="1">
      <c r="A16" s="40" t="s">
        <v>176</v>
      </c>
      <c r="B16" s="22"/>
      <c r="C16" s="245">
        <f>'C6'!M25</f>
        <v>67500000</v>
      </c>
      <c r="D16" s="245">
        <f>'C6'!M58</f>
        <v>74250000</v>
      </c>
      <c r="E16" s="245">
        <f>'C6'!M91</f>
        <v>104362500</v>
      </c>
      <c r="F16" s="245">
        <f>'C6'!M119</f>
        <v>114798750.00000003</v>
      </c>
      <c r="G16" s="245">
        <f>'C6'!M147</f>
        <v>126278625.00000003</v>
      </c>
    </row>
    <row r="17" spans="1:7" ht="12.75">
      <c r="A17" s="40" t="s">
        <v>177</v>
      </c>
      <c r="B17" s="22"/>
      <c r="C17" s="245">
        <f>'C6'!M26</f>
        <v>101250000</v>
      </c>
      <c r="D17" s="245">
        <f>'C6'!M59</f>
        <v>119625000.00000001</v>
      </c>
      <c r="E17" s="245">
        <f>'C6'!M92</f>
        <v>154275000.00000003</v>
      </c>
      <c r="F17" s="245">
        <f>'C6'!M120</f>
        <v>179685000.00000006</v>
      </c>
      <c r="G17" s="245">
        <f>'C6'!M148</f>
        <v>208634250.00000006</v>
      </c>
    </row>
    <row r="18" spans="1:7" ht="15" customHeight="1" thickBot="1">
      <c r="A18" s="52" t="s">
        <v>232</v>
      </c>
      <c r="B18" s="55"/>
      <c r="C18" s="250">
        <f>C16+C17</f>
        <v>168750000</v>
      </c>
      <c r="D18" s="250">
        <f>D16+D17</f>
        <v>193875000</v>
      </c>
      <c r="E18" s="250">
        <f>E16+E17</f>
        <v>258637500.00000003</v>
      </c>
      <c r="F18" s="250">
        <f>F16+F17</f>
        <v>294483750.0000001</v>
      </c>
      <c r="G18" s="250">
        <f>G16+G17</f>
        <v>334912875.0000001</v>
      </c>
    </row>
    <row r="19" spans="2:7" ht="12.75" customHeight="1" thickTop="1">
      <c r="B19" s="50"/>
      <c r="C19" s="50"/>
      <c r="D19" s="50"/>
      <c r="E19" s="50"/>
      <c r="F19" s="50"/>
      <c r="G19" s="50"/>
    </row>
    <row r="20" spans="1:7" ht="15" customHeight="1">
      <c r="A20" s="52" t="s">
        <v>410</v>
      </c>
      <c r="B20" s="50"/>
      <c r="C20" s="50"/>
      <c r="D20" s="50"/>
      <c r="E20" s="50"/>
      <c r="F20" s="50"/>
      <c r="G20" s="50"/>
    </row>
    <row r="21" spans="1:7" ht="15" customHeight="1">
      <c r="A21" s="52" t="s">
        <v>436</v>
      </c>
      <c r="B21" s="50"/>
      <c r="C21" s="50"/>
      <c r="D21" s="50"/>
      <c r="E21" s="50"/>
      <c r="F21" s="50"/>
      <c r="G21" s="50"/>
    </row>
    <row r="22" spans="1:7" ht="12.75">
      <c r="A22" s="40" t="s">
        <v>437</v>
      </c>
      <c r="B22" s="50"/>
      <c r="C22" s="50">
        <f>'C6'!E19</f>
        <v>1</v>
      </c>
      <c r="D22" s="50">
        <f>'C6'!E52</f>
        <v>1</v>
      </c>
      <c r="E22" s="50">
        <f>'C6'!E85</f>
        <v>1</v>
      </c>
      <c r="F22" s="50">
        <f>'C6'!E113</f>
        <v>1</v>
      </c>
      <c r="G22" s="50">
        <f>'C6'!E141</f>
        <v>1</v>
      </c>
    </row>
    <row r="23" spans="1:7" ht="12.75">
      <c r="A23" s="40" t="s">
        <v>438</v>
      </c>
      <c r="B23" s="50"/>
      <c r="C23" s="50">
        <f>'C6'!E20</f>
        <v>1</v>
      </c>
      <c r="D23" s="50">
        <f>'C6'!E53</f>
        <v>1</v>
      </c>
      <c r="E23" s="50">
        <f>'C6'!E86</f>
        <v>2</v>
      </c>
      <c r="F23" s="50">
        <f>'C6'!E114</f>
        <v>2</v>
      </c>
      <c r="G23" s="50">
        <f>'C6'!E142</f>
        <v>2</v>
      </c>
    </row>
    <row r="24" spans="1:7" ht="12.75">
      <c r="A24" s="40" t="s">
        <v>439</v>
      </c>
      <c r="B24" s="50"/>
      <c r="C24" s="50">
        <f>'C6'!E21</f>
        <v>2</v>
      </c>
      <c r="D24" s="50">
        <f>'C6'!E54</f>
        <v>2</v>
      </c>
      <c r="E24" s="50">
        <f>'C6'!E87</f>
        <v>3</v>
      </c>
      <c r="F24" s="50">
        <f>'C6'!E115</f>
        <v>3</v>
      </c>
      <c r="G24" s="50">
        <f>'C6'!E143</f>
        <v>3</v>
      </c>
    </row>
    <row r="25" spans="1:7" ht="12.75">
      <c r="A25" s="40" t="s">
        <v>440</v>
      </c>
      <c r="B25" s="50"/>
      <c r="C25" s="50">
        <f>'C6'!E22</f>
        <v>4</v>
      </c>
      <c r="D25" s="50">
        <f>'C6'!E55</f>
        <v>4</v>
      </c>
      <c r="E25" s="50">
        <f>'C6'!E88</f>
        <v>4</v>
      </c>
      <c r="F25" s="50">
        <f>'C6'!E116</f>
        <v>4</v>
      </c>
      <c r="G25" s="50">
        <f>'C6'!E144</f>
        <v>4</v>
      </c>
    </row>
    <row r="26" spans="1:7" ht="12.75">
      <c r="A26" s="40" t="s">
        <v>441</v>
      </c>
      <c r="B26" s="50"/>
      <c r="C26" s="50">
        <f>'C6'!E23</f>
        <v>5</v>
      </c>
      <c r="D26" s="50">
        <f>'C6'!E56</f>
        <v>6</v>
      </c>
      <c r="E26" s="50">
        <f>'C6'!E89</f>
        <v>7</v>
      </c>
      <c r="F26" s="50">
        <f>'C6'!E117</f>
        <v>8</v>
      </c>
      <c r="G26" s="50">
        <f>'C6'!E145</f>
        <v>9</v>
      </c>
    </row>
    <row r="27" spans="1:7" ht="15" customHeight="1" thickBot="1">
      <c r="A27" s="52" t="s">
        <v>435</v>
      </c>
      <c r="B27" s="123">
        <f aca="true" t="shared" si="0" ref="B27:G27">SUM(B22:B26)</f>
        <v>0</v>
      </c>
      <c r="C27" s="123">
        <f t="shared" si="0"/>
        <v>13</v>
      </c>
      <c r="D27" s="123">
        <f t="shared" si="0"/>
        <v>14</v>
      </c>
      <c r="E27" s="123">
        <f t="shared" si="0"/>
        <v>17</v>
      </c>
      <c r="F27" s="123">
        <f t="shared" si="0"/>
        <v>18</v>
      </c>
      <c r="G27" s="123">
        <f t="shared" si="0"/>
        <v>19</v>
      </c>
    </row>
    <row r="28" spans="1:7" ht="15" customHeight="1" thickTop="1">
      <c r="A28" s="52" t="s">
        <v>232</v>
      </c>
      <c r="B28" s="50"/>
      <c r="C28" s="50"/>
      <c r="D28" s="50"/>
      <c r="E28" s="50"/>
      <c r="F28" s="50"/>
      <c r="G28" s="50"/>
    </row>
    <row r="29" spans="1:7" ht="12.75">
      <c r="A29" s="40" t="s">
        <v>437</v>
      </c>
      <c r="B29" s="50"/>
      <c r="C29" s="261">
        <f>'C6'!M19</f>
        <v>33750000</v>
      </c>
      <c r="D29" s="261">
        <f>'C6'!M52</f>
        <v>37125000</v>
      </c>
      <c r="E29" s="261">
        <f>'C6'!M85</f>
        <v>40837500</v>
      </c>
      <c r="F29" s="261">
        <f>'C6'!M113</f>
        <v>44921250.00000001</v>
      </c>
      <c r="G29" s="261">
        <f>'C6'!M141</f>
        <v>49413375.000000015</v>
      </c>
    </row>
    <row r="30" spans="1:7" ht="12.75">
      <c r="A30" s="40" t="s">
        <v>438</v>
      </c>
      <c r="B30" s="50"/>
      <c r="C30" s="261">
        <f>'C6'!M20</f>
        <v>11250000</v>
      </c>
      <c r="D30" s="261">
        <f>'C6'!M53</f>
        <v>12375000.000000002</v>
      </c>
      <c r="E30" s="261">
        <f>'C6'!M86</f>
        <v>27225000.000000007</v>
      </c>
      <c r="F30" s="261">
        <f>'C6'!M114</f>
        <v>29947500.000000007</v>
      </c>
      <c r="G30" s="261">
        <f>'C6'!M142</f>
        <v>32942250.000000015</v>
      </c>
    </row>
    <row r="31" spans="1:7" ht="12.75">
      <c r="A31" s="40" t="s">
        <v>439</v>
      </c>
      <c r="B31" s="50"/>
      <c r="C31" s="261">
        <f>'C6'!M21</f>
        <v>41250000</v>
      </c>
      <c r="D31" s="261">
        <f>'C6'!M54</f>
        <v>45375000</v>
      </c>
      <c r="E31" s="261">
        <f>'C6'!M87</f>
        <v>72600000.00000001</v>
      </c>
      <c r="F31" s="261">
        <f>'C6'!M115</f>
        <v>79860000.00000003</v>
      </c>
      <c r="G31" s="261">
        <f>'C6'!M143</f>
        <v>87846000.00000003</v>
      </c>
    </row>
    <row r="32" spans="1:7" ht="12.75">
      <c r="A32" s="40" t="s">
        <v>440</v>
      </c>
      <c r="B32" s="50"/>
      <c r="C32" s="261">
        <f>'C6'!M22</f>
        <v>45000000</v>
      </c>
      <c r="D32" s="261">
        <f>'C6'!M55</f>
        <v>49500000.00000001</v>
      </c>
      <c r="E32" s="261">
        <f>'C6'!M88</f>
        <v>54450000.000000015</v>
      </c>
      <c r="F32" s="261">
        <f>'C6'!M116</f>
        <v>59895000.000000015</v>
      </c>
      <c r="G32" s="261">
        <f>'C6'!M144</f>
        <v>65884500.00000003</v>
      </c>
    </row>
    <row r="33" spans="1:7" ht="12.75">
      <c r="A33" s="40" t="s">
        <v>441</v>
      </c>
      <c r="B33" s="50"/>
      <c r="C33" s="261">
        <f>'C6'!M23</f>
        <v>37500000</v>
      </c>
      <c r="D33" s="261">
        <f>'C6'!M56</f>
        <v>49500000</v>
      </c>
      <c r="E33" s="261">
        <f>'C6'!M89</f>
        <v>63525000</v>
      </c>
      <c r="F33" s="261">
        <f>'C6'!M117</f>
        <v>79860000</v>
      </c>
      <c r="G33" s="261">
        <f>'C6'!M145</f>
        <v>98826750.00000001</v>
      </c>
    </row>
    <row r="34" spans="1:7" ht="15" customHeight="1" thickBot="1">
      <c r="A34" s="52" t="s">
        <v>232</v>
      </c>
      <c r="B34" s="123">
        <f aca="true" t="shared" si="1" ref="B34:G34">SUM(B29:B33)</f>
        <v>0</v>
      </c>
      <c r="C34" s="255">
        <f t="shared" si="1"/>
        <v>168750000</v>
      </c>
      <c r="D34" s="255">
        <f t="shared" si="1"/>
        <v>193875000</v>
      </c>
      <c r="E34" s="255">
        <f t="shared" si="1"/>
        <v>258637500</v>
      </c>
      <c r="F34" s="255">
        <f t="shared" si="1"/>
        <v>294483750.00000006</v>
      </c>
      <c r="G34" s="255">
        <f t="shared" si="1"/>
        <v>334912875.0000001</v>
      </c>
    </row>
    <row r="35" spans="2:7" ht="12.75" customHeight="1" thickTop="1">
      <c r="B35" s="50"/>
      <c r="C35" s="50"/>
      <c r="D35" s="50"/>
      <c r="E35" s="50"/>
      <c r="F35" s="50"/>
      <c r="G35" s="50"/>
    </row>
    <row r="36" spans="1:7" ht="15" customHeight="1">
      <c r="A36" s="52" t="s">
        <v>442</v>
      </c>
      <c r="B36" s="50"/>
      <c r="C36" s="50"/>
      <c r="D36" s="50"/>
      <c r="E36" s="50"/>
      <c r="F36" s="50"/>
      <c r="G36" s="50"/>
    </row>
    <row r="37" spans="1:7" ht="15" customHeight="1">
      <c r="A37" s="52" t="s">
        <v>436</v>
      </c>
      <c r="B37" s="50"/>
      <c r="C37" s="50"/>
      <c r="D37" s="50"/>
      <c r="E37" s="50"/>
      <c r="F37" s="50"/>
      <c r="G37" s="50"/>
    </row>
    <row r="38" spans="1:7" ht="12.75">
      <c r="A38" s="40" t="s">
        <v>437</v>
      </c>
      <c r="B38" s="16"/>
      <c r="C38" s="16">
        <f>C22/C27</f>
        <v>0.07692307692307693</v>
      </c>
      <c r="D38" s="16">
        <f>D22/D27</f>
        <v>0.07142857142857142</v>
      </c>
      <c r="E38" s="16">
        <f>E22/E27</f>
        <v>0.058823529411764705</v>
      </c>
      <c r="F38" s="16">
        <f>F22/F27</f>
        <v>0.05555555555555555</v>
      </c>
      <c r="G38" s="16">
        <f>G22/G27</f>
        <v>0.05263157894736842</v>
      </c>
    </row>
    <row r="39" spans="1:7" ht="12.75">
      <c r="A39" s="40" t="s">
        <v>438</v>
      </c>
      <c r="B39" s="16"/>
      <c r="C39" s="16">
        <f>C23/C27</f>
        <v>0.07692307692307693</v>
      </c>
      <c r="D39" s="16">
        <f>D23/D27</f>
        <v>0.07142857142857142</v>
      </c>
      <c r="E39" s="16">
        <f>E23/E27</f>
        <v>0.11764705882352941</v>
      </c>
      <c r="F39" s="16">
        <f>F23/F27</f>
        <v>0.1111111111111111</v>
      </c>
      <c r="G39" s="16">
        <f>G23/G27</f>
        <v>0.10526315789473684</v>
      </c>
    </row>
    <row r="40" spans="1:7" ht="12.75">
      <c r="A40" s="40" t="s">
        <v>439</v>
      </c>
      <c r="B40" s="16"/>
      <c r="C40" s="16">
        <f>C24/C27</f>
        <v>0.15384615384615385</v>
      </c>
      <c r="D40" s="16">
        <f>D24/D27</f>
        <v>0.14285714285714285</v>
      </c>
      <c r="E40" s="16">
        <f>E24/E27</f>
        <v>0.17647058823529413</v>
      </c>
      <c r="F40" s="16">
        <f>F24/F27</f>
        <v>0.16666666666666666</v>
      </c>
      <c r="G40" s="16">
        <f>G24/G27</f>
        <v>0.15789473684210525</v>
      </c>
    </row>
    <row r="41" spans="1:7" ht="12.75">
      <c r="A41" s="40" t="s">
        <v>440</v>
      </c>
      <c r="B41" s="16"/>
      <c r="C41" s="16">
        <f>C25/C27</f>
        <v>0.3076923076923077</v>
      </c>
      <c r="D41" s="16">
        <f>D25/D27</f>
        <v>0.2857142857142857</v>
      </c>
      <c r="E41" s="16">
        <f>E25/E27</f>
        <v>0.23529411764705882</v>
      </c>
      <c r="F41" s="16">
        <f>F25/F27</f>
        <v>0.2222222222222222</v>
      </c>
      <c r="G41" s="16">
        <f>G25/G27</f>
        <v>0.21052631578947367</v>
      </c>
    </row>
    <row r="42" spans="1:7" ht="12.75">
      <c r="A42" s="40" t="s">
        <v>441</v>
      </c>
      <c r="B42" s="16"/>
      <c r="C42" s="16">
        <f>C26/C27</f>
        <v>0.38461538461538464</v>
      </c>
      <c r="D42" s="16">
        <f>D26/D27</f>
        <v>0.42857142857142855</v>
      </c>
      <c r="E42" s="16">
        <f>E26/E27</f>
        <v>0.4117647058823529</v>
      </c>
      <c r="F42" s="16">
        <f>F26/F27</f>
        <v>0.4444444444444444</v>
      </c>
      <c r="G42" s="16">
        <f>G26/G27</f>
        <v>0.47368421052631576</v>
      </c>
    </row>
    <row r="43" spans="1:7" ht="15" customHeight="1" thickBot="1">
      <c r="A43" s="52" t="s">
        <v>435</v>
      </c>
      <c r="B43" s="157">
        <f aca="true" t="shared" si="2" ref="B43:G43">SUM(B38:B42)</f>
        <v>0</v>
      </c>
      <c r="C43" s="157">
        <f t="shared" si="2"/>
        <v>1</v>
      </c>
      <c r="D43" s="157">
        <f t="shared" si="2"/>
        <v>1</v>
      </c>
      <c r="E43" s="157">
        <f t="shared" si="2"/>
        <v>0.9999999999999999</v>
      </c>
      <c r="F43" s="157">
        <f t="shared" si="2"/>
        <v>1</v>
      </c>
      <c r="G43" s="157">
        <f t="shared" si="2"/>
        <v>1</v>
      </c>
    </row>
    <row r="44" spans="1:7" ht="15" customHeight="1" thickTop="1">
      <c r="A44" s="52" t="s">
        <v>232</v>
      </c>
      <c r="B44" s="16"/>
      <c r="C44" s="16"/>
      <c r="D44" s="16"/>
      <c r="E44" s="16"/>
      <c r="F44" s="16"/>
      <c r="G44" s="16"/>
    </row>
    <row r="45" spans="1:7" ht="12.75">
      <c r="A45" s="40" t="s">
        <v>437</v>
      </c>
      <c r="B45" s="16"/>
      <c r="C45" s="16">
        <f>C29/C34</f>
        <v>0.2</v>
      </c>
      <c r="D45" s="16">
        <f>D29/D34</f>
        <v>0.19148936170212766</v>
      </c>
      <c r="E45" s="16">
        <f>E29/E34</f>
        <v>0.15789473684210525</v>
      </c>
      <c r="F45" s="16">
        <f>F29/F34</f>
        <v>0.15254237288135591</v>
      </c>
      <c r="G45" s="16">
        <f>G29/G34</f>
        <v>0.14754098360655737</v>
      </c>
    </row>
    <row r="46" spans="1:7" ht="12.75">
      <c r="A46" s="40" t="s">
        <v>438</v>
      </c>
      <c r="B46" s="16"/>
      <c r="C46" s="16">
        <f>C30/C34</f>
        <v>0.06666666666666667</v>
      </c>
      <c r="D46" s="16">
        <f>D30/D34</f>
        <v>0.06382978723404256</v>
      </c>
      <c r="E46" s="16">
        <f>E30/E34</f>
        <v>0.10526315789473686</v>
      </c>
      <c r="F46" s="16">
        <f>F30/F34</f>
        <v>0.1016949152542373</v>
      </c>
      <c r="G46" s="16">
        <f>G30/G34</f>
        <v>0.09836065573770493</v>
      </c>
    </row>
    <row r="47" spans="1:7" ht="12.75">
      <c r="A47" s="40" t="s">
        <v>439</v>
      </c>
      <c r="B47" s="16"/>
      <c r="C47" s="16">
        <f>C31/C34</f>
        <v>0.24444444444444444</v>
      </c>
      <c r="D47" s="16">
        <f>D31/D34</f>
        <v>0.23404255319148937</v>
      </c>
      <c r="E47" s="16">
        <f>E31/E34</f>
        <v>0.28070175438596495</v>
      </c>
      <c r="F47" s="16">
        <f>F31/F34</f>
        <v>0.27118644067796616</v>
      </c>
      <c r="G47" s="16">
        <f>G31/G34</f>
        <v>0.26229508196721313</v>
      </c>
    </row>
    <row r="48" spans="1:7" ht="12.75">
      <c r="A48" s="40" t="s">
        <v>440</v>
      </c>
      <c r="B48" s="16"/>
      <c r="C48" s="16">
        <f>C32/C34</f>
        <v>0.26666666666666666</v>
      </c>
      <c r="D48" s="16">
        <f>D32/D34</f>
        <v>0.25531914893617025</v>
      </c>
      <c r="E48" s="16">
        <f>E32/E34</f>
        <v>0.21052631578947373</v>
      </c>
      <c r="F48" s="16">
        <f>F32/F34</f>
        <v>0.2033898305084746</v>
      </c>
      <c r="G48" s="16">
        <f>G32/G34</f>
        <v>0.19672131147540986</v>
      </c>
    </row>
    <row r="49" spans="1:7" ht="12.75">
      <c r="A49" s="40" t="s">
        <v>441</v>
      </c>
      <c r="B49" s="16"/>
      <c r="C49" s="16">
        <f>C33/C34</f>
        <v>0.2222222222222222</v>
      </c>
      <c r="D49" s="16">
        <f>D33/D34</f>
        <v>0.2553191489361702</v>
      </c>
      <c r="E49" s="16">
        <f>E33/E34</f>
        <v>0.24561403508771928</v>
      </c>
      <c r="F49" s="16">
        <f>F33/F34</f>
        <v>0.27118644067796605</v>
      </c>
      <c r="G49" s="16">
        <f>G33/G34</f>
        <v>0.2950819672131147</v>
      </c>
    </row>
    <row r="50" spans="1:7" ht="15" customHeight="1" thickBot="1">
      <c r="A50" s="52" t="s">
        <v>232</v>
      </c>
      <c r="B50" s="157">
        <f aca="true" t="shared" si="3" ref="B50:G50">SUM(B45:B49)</f>
        <v>0</v>
      </c>
      <c r="C50" s="157">
        <f t="shared" si="3"/>
        <v>0.9999999999999999</v>
      </c>
      <c r="D50" s="157">
        <f t="shared" si="3"/>
        <v>1</v>
      </c>
      <c r="E50" s="157">
        <f t="shared" si="3"/>
        <v>1</v>
      </c>
      <c r="F50" s="157">
        <f t="shared" si="3"/>
        <v>1</v>
      </c>
      <c r="G50" s="157">
        <f t="shared" si="3"/>
        <v>1</v>
      </c>
    </row>
    <row r="51" ht="13.5" thickTop="1"/>
  </sheetData>
  <printOptions horizontalCentered="1" verticalCentered="1"/>
  <pageMargins left="0.3937007874015748" right="0.75" top="1" bottom="1" header="0" footer="0"/>
  <pageSetup horizontalDpi="200" verticalDpi="200" orientation="portrait" paperSize="9" scale="95" r:id="rId1"/>
  <ignoredErrors>
    <ignoredError sqref="C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Armando Delgado</cp:lastModifiedBy>
  <cp:lastPrinted>2003-09-05T15:08:08Z</cp:lastPrinted>
  <dcterms:created xsi:type="dcterms:W3CDTF">1997-08-13T13:29:55Z</dcterms:created>
  <dcterms:modified xsi:type="dcterms:W3CDTF">2003-12-14T23:48:50Z</dcterms:modified>
  <cp:category/>
  <cp:version/>
  <cp:contentType/>
  <cp:contentStatus/>
</cp:coreProperties>
</file>