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activeTab="4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<sst xmlns="http://schemas.openxmlformats.org/spreadsheetml/2006/main" count="430" uniqueCount="280">
  <si>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</si>
  <si>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</si>
  <si>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</si>
  <si>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</si>
  <si>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</si>
  <si>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</si>
  <si>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</si>
  <si>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</si>
  <si>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</si>
  <si>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</si>
  <si>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</si>
  <si>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</si>
  <si>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</si>
  <si>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</si>
  <si>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</si>
  <si>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</si>
  <si>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</si>
  <si>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</si>
  <si>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</si>
  <si>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</si>
  <si>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</si>
  <si>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</si>
  <si>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</si>
  <si>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</si>
  <si>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</si>
  <si>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</si>
  <si>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</si>
  <si>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</si>
  <si>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</si>
  <si>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</si>
  <si>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</si>
  <si>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</si>
  <si>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</si>
  <si>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</si>
  <si>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</si>
  <si>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</si>
  <si>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</si>
  <si>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</si>
  <si>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</si>
  <si>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</si>
  <si>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</si>
  <si>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</si>
  <si>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</si>
  <si>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</si>
  <si>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</si>
  <si>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</si>
  <si>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</si>
  <si>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</si>
  <si>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</si>
  <si>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</si>
  <si>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</si>
  <si>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</si>
  <si>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</si>
  <si>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</si>
  <si>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</si>
  <si>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</si>
  <si>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</si>
  <si>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</si>
  <si>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</si>
  <si>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</si>
  <si>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</si>
  <si>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</si>
  <si>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</si>
  <si>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</si>
  <si>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</si>
  <si>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</si>
  <si>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</si>
  <si>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</si>
  <si>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</si>
  <si>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</si>
  <si>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</si>
  <si>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</si>
  <si>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</si>
  <si>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</si>
  <si>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</si>
  <si>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</si>
  <si>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</si>
  <si>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</si>
  <si>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</si>
  <si>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</si>
  <si>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</si>
  <si>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</si>
  <si>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</si>
  <si>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</si>
  <si>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</si>
  <si>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</si>
  <si>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</si>
  <si>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</si>
  <si>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</si>
  <si>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</si>
  <si>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</si>
  <si>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</si>
  <si>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</si>
  <si>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</si>
  <si>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</si>
  <si>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</si>
  <si>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</si>
  <si>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</si>
  <si>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</si>
  <si>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</si>
  <si>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</si>
  <si>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</si>
  <si>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</si>
  <si>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</si>
  <si>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</si>
  <si>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</si>
  <si>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</si>
  <si>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</si>
  <si>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</si>
  <si>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</si>
  <si>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</si>
  <si>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</si>
  <si>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</si>
  <si>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</si>
  <si>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</si>
  <si>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</si>
  <si>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</si>
  <si>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</si>
  <si>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</si>
  <si>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</si>
  <si>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</si>
  <si>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</si>
  <si>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</si>
  <si>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</si>
  <si>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</si>
  <si>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</si>
  <si>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</si>
  <si>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</si>
  <si>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</si>
  <si>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</si>
  <si>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</si>
  <si>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</si>
  <si>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</si>
  <si>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</si>
  <si>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</si>
  <si>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</si>
  <si>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</si>
  <si>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</si>
  <si>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</si>
  <si>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</si>
  <si>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</si>
  <si>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</si>
  <si>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</si>
  <si>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</si>
  <si>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</si>
  <si>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</si>
  <si>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</si>
  <si>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</si>
  <si>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</si>
  <si>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</si>
  <si>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</si>
  <si>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</si>
  <si>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</si>
  <si>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</si>
  <si>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</si>
  <si>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</si>
  <si>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</si>
  <si>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</si>
  <si>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</si>
  <si>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</si>
  <si>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</si>
  <si>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</si>
  <si>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</si>
  <si>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</si>
  <si>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</si>
  <si>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</si>
  <si>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</si>
  <si>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</si>
  <si>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</si>
  <si>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</si>
  <si>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</si>
  <si>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</si>
  <si>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</si>
  <si>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</si>
  <si>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</si>
  <si>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</si>
  <si>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</si>
  <si>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</si>
  <si>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</si>
  <si>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</si>
  <si>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</si>
  <si>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</si>
  <si>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</si>
  <si>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</si>
  <si>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</si>
  <si>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</si>
  <si>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</si>
  <si>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</si>
  <si>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</si>
  <si>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</si>
  <si>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</si>
  <si>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</si>
  <si>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</si>
  <si>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</si>
  <si>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</si>
  <si>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</si>
  <si>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</si>
  <si>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</si>
  <si>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</si>
  <si>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</si>
  <si>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</si>
  <si>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</si>
  <si>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</si>
  <si>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</si>
  <si>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</si>
  <si>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</si>
  <si>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</si>
  <si>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</si>
  <si>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</si>
  <si>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</si>
  <si>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</si>
  <si>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</si>
  <si>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</si>
  <si>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</si>
  <si>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</si>
  <si>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</si>
  <si>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</si>
  <si>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</si>
  <si>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</si>
  <si>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</si>
  <si>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</si>
  <si>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</si>
  <si>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</si>
  <si>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</si>
  <si>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</si>
  <si>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</si>
  <si>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</si>
  <si>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</si>
  <si>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</si>
  <si>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</si>
  <si>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</si>
  <si>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</si>
  <si>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</si>
  <si>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</si>
  <si>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</si>
  <si>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</si>
  <si>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</si>
  <si>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</si>
  <si>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</si>
  <si>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</si>
  <si>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</si>
  <si>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</si>
  <si>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</si>
  <si>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</si>
  <si>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</si>
  <si>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</si>
  <si>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</si>
  <si>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</si>
  <si>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</si>
  <si>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</si>
  <si>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</si>
  <si>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</si>
  <si>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</si>
  <si>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</si>
  <si>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</si>
  <si>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</si>
  <si>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</si>
  <si>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</si>
  <si>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</si>
  <si>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</si>
  <si>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</si>
  <si>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</si>
  <si>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</si>
  <si>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</si>
  <si>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</si>
  <si>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</si>
  <si>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</si>
  <si>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</si>
  <si>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</si>
  <si>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</si>
  <si>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</si>
  <si>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</si>
  <si>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</si>
  <si>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FINANCIAMIENTO DE TERCEROS</t>
  </si>
  <si>
    <t>CUADRO 5</t>
  </si>
  <si>
    <t>CUADRO 8</t>
  </si>
  <si>
    <t>INGRESOS</t>
  </si>
  <si>
    <t>CUADRO 10</t>
  </si>
  <si>
    <t>ESTADO DE RESULTADOS</t>
  </si>
  <si>
    <t>CUADRO 12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</si>
</sst>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0" fontId="0" fillId="10" borderId="27" xfId="0" applyFill="1" applyBorder="1" applyAlignment="1">
      <alignment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10" borderId="40" xfId="0" applyFont="1" applyFill="1" applyBorder="1" applyAlignment="1">
      <alignment horizontal="center"/>
    </xf>
    <xf numFmtId="0" fontId="0" fillId="10" borderId="5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1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2" borderId="39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B3">
      <selection activeCell="C37" sqref="C37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16"/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87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2:13" ht="13.5" thickBot="1">
      <c r="B10" s="219" t="s">
        <v>88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61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64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66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67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66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66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66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69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66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66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66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69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2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D8">
      <selection activeCell="G52" sqref="G5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16" t="s">
        <v>86</v>
      </c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275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21"/>
    </row>
    <row r="10" spans="2:13" ht="13.5" thickBot="1">
      <c r="B10" s="219" t="s">
        <v>276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31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B1">
      <selection activeCell="I10" sqref="I10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ht="13.5" thickBot="1"/>
    <row r="2" spans="2:9" ht="13.5" thickBot="1">
      <c r="B2" s="222" t="s">
        <v>194</v>
      </c>
      <c r="C2" s="223"/>
      <c r="D2" s="223"/>
      <c r="E2" s="224"/>
      <c r="G2" s="222" t="s">
        <v>195</v>
      </c>
      <c r="H2" s="223"/>
      <c r="I2" s="224"/>
    </row>
    <row r="3" spans="2:9" ht="38.25">
      <c r="B3" s="116" t="s">
        <v>39</v>
      </c>
      <c r="C3" s="116" t="s">
        <v>23</v>
      </c>
      <c r="D3" s="116" t="s">
        <v>40</v>
      </c>
      <c r="E3" s="116" t="s">
        <v>41</v>
      </c>
      <c r="G3" s="116" t="s">
        <v>32</v>
      </c>
      <c r="H3" s="116" t="s">
        <v>33</v>
      </c>
      <c r="I3" s="116" t="s">
        <v>34</v>
      </c>
    </row>
    <row r="4" spans="2:9" ht="25.5">
      <c r="B4" s="24" t="s">
        <v>42</v>
      </c>
      <c r="C4" s="16"/>
      <c r="D4" s="152"/>
      <c r="E4" s="16">
        <f>+'Cuadro 6'!L5+'Cuadro 6'!L9+'Cuadro 6'!L12+'Cuadro 6'!L13+'Cuadro 6'!L10+'Cuadro 6'!L11</f>
        <v>37879986.51527777</v>
      </c>
      <c r="G4" s="24" t="s">
        <v>35</v>
      </c>
      <c r="H4" s="22">
        <f>+'Cuadro 7'!H26</f>
        <v>556255526.4</v>
      </c>
      <c r="I4" s="22">
        <f>16555*20*70%*2400*12</f>
        <v>6674975999.999998</v>
      </c>
    </row>
    <row r="5" spans="2:9" ht="38.25">
      <c r="B5" s="24" t="s">
        <v>43</v>
      </c>
      <c r="C5" s="16"/>
      <c r="D5" s="152">
        <f>+'Cuadro 6'!L4+'Cuadro 6'!L6+'Cuadro 6'!L7+'Cuadro 6'!L8</f>
        <v>15772222.222222222</v>
      </c>
      <c r="E5" s="16"/>
      <c r="G5" s="24" t="s">
        <v>36</v>
      </c>
      <c r="H5" s="22">
        <f>+'Cuadro 7'!H27</f>
        <v>162987955.2</v>
      </c>
      <c r="I5" s="22">
        <f>16978*20*20%*2400*12</f>
        <v>1955865600</v>
      </c>
    </row>
    <row r="6" spans="2:9" ht="38.25">
      <c r="B6" s="24" t="s">
        <v>44</v>
      </c>
      <c r="C6" s="16">
        <f>3500*1200</f>
        <v>4200000</v>
      </c>
      <c r="D6" s="152">
        <f>5%*C6</f>
        <v>210000</v>
      </c>
      <c r="E6" s="16">
        <f>+C6*95%</f>
        <v>3990000</v>
      </c>
      <c r="G6" s="24" t="s">
        <v>37</v>
      </c>
      <c r="H6" s="22">
        <f>+'Cuadro 7'!H28</f>
        <v>82199001.60000001</v>
      </c>
      <c r="I6" s="22">
        <f>17125*20*10%*2400*12</f>
        <v>986400000</v>
      </c>
    </row>
    <row r="7" spans="2:9" ht="12.75">
      <c r="B7" s="24" t="s">
        <v>45</v>
      </c>
      <c r="C7" s="16">
        <v>600000</v>
      </c>
      <c r="D7" s="152">
        <f>+C7</f>
        <v>600000</v>
      </c>
      <c r="E7" s="16"/>
      <c r="G7" s="25" t="s">
        <v>38</v>
      </c>
      <c r="H7" s="26">
        <f>SUM(H4:H6)</f>
        <v>801442483.1999999</v>
      </c>
      <c r="I7" s="26">
        <f>SUM(I4:I6)</f>
        <v>9617241599.999998</v>
      </c>
    </row>
    <row r="8" spans="2:5" ht="12.75">
      <c r="B8" s="24" t="s">
        <v>46</v>
      </c>
      <c r="C8" s="16"/>
      <c r="D8" s="152"/>
      <c r="E8" s="16">
        <v>40000</v>
      </c>
    </row>
    <row r="9" spans="2:5" ht="12.75">
      <c r="B9" s="24" t="s">
        <v>47</v>
      </c>
      <c r="C9" s="16">
        <v>300000</v>
      </c>
      <c r="D9" s="152">
        <f>+C9*5%</f>
        <v>15000</v>
      </c>
      <c r="E9" s="16">
        <f>+C9*95%</f>
        <v>285000</v>
      </c>
    </row>
    <row r="10" spans="2:5" ht="25.5">
      <c r="B10" s="24" t="s">
        <v>48</v>
      </c>
      <c r="C10" s="16">
        <v>200000</v>
      </c>
      <c r="D10" s="152"/>
      <c r="E10" s="16">
        <f>+C10</f>
        <v>200000</v>
      </c>
    </row>
    <row r="11" spans="2:5" ht="12.75">
      <c r="B11" s="24" t="s">
        <v>49</v>
      </c>
      <c r="C11" s="16">
        <f>+'Cuadro 8'!D30*0.14%</f>
        <v>14738496.03072</v>
      </c>
      <c r="D11" s="152">
        <f>+C11</f>
        <v>14738496.03072</v>
      </c>
      <c r="E11" s="16"/>
    </row>
    <row r="12" spans="2:5" ht="12.75">
      <c r="B12" s="24" t="s">
        <v>74</v>
      </c>
      <c r="C12" s="16">
        <v>200000</v>
      </c>
      <c r="D12" s="152"/>
      <c r="E12" s="16">
        <f>+C12</f>
        <v>200000</v>
      </c>
    </row>
    <row r="13" spans="2:7" ht="12.75">
      <c r="B13" s="24" t="s">
        <v>75</v>
      </c>
      <c r="C13" s="16">
        <v>600000</v>
      </c>
      <c r="D13" s="152"/>
      <c r="E13" s="16">
        <f>+C13</f>
        <v>600000</v>
      </c>
      <c r="G13" s="169"/>
    </row>
    <row r="14" spans="2:5" ht="12.75">
      <c r="B14" s="24" t="s">
        <v>76</v>
      </c>
      <c r="C14" s="16">
        <v>500000</v>
      </c>
      <c r="D14" s="152"/>
      <c r="E14" s="16">
        <v>1000000</v>
      </c>
    </row>
    <row r="15" spans="2:5" ht="12.75">
      <c r="B15" s="24" t="s">
        <v>77</v>
      </c>
      <c r="C15" s="16">
        <v>500000</v>
      </c>
      <c r="D15" s="152">
        <f>+C15</f>
        <v>500000</v>
      </c>
      <c r="E15" s="16"/>
    </row>
    <row r="16" spans="2:5" ht="12.75">
      <c r="B16" s="127" t="s">
        <v>50</v>
      </c>
      <c r="C16" s="16"/>
      <c r="D16" s="153">
        <f>SUM(D4:D15)</f>
        <v>31835718.25294222</v>
      </c>
      <c r="E16" s="16"/>
    </row>
    <row r="17" spans="2:5" ht="12.75">
      <c r="B17" s="127" t="s">
        <v>51</v>
      </c>
      <c r="C17" s="16"/>
      <c r="D17" s="154"/>
      <c r="E17" s="17">
        <f>SUM(E4:E15)</f>
        <v>44194986.51527777</v>
      </c>
    </row>
    <row r="18" spans="2:5" ht="12.75">
      <c r="B18" s="25" t="s">
        <v>85</v>
      </c>
      <c r="C18" s="26">
        <f>+D16+E17</f>
        <v>76030704.76821999</v>
      </c>
      <c r="D18" s="155">
        <f>C18*12</f>
        <v>912368457.2186399</v>
      </c>
      <c r="E18" s="26"/>
    </row>
    <row r="19" spans="3:4" ht="12.75">
      <c r="C19" s="134" t="s">
        <v>211</v>
      </c>
      <c r="D19" s="156" t="s">
        <v>212</v>
      </c>
    </row>
  </sheetData>
  <mergeCells count="2">
    <mergeCell ref="B2:E2"/>
    <mergeCell ref="G2:I2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E2" sqref="E2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ht="12.75">
      <c r="E2" s="45" t="s">
        <v>277</v>
      </c>
    </row>
    <row r="3" spans="1:10" ht="12.75">
      <c r="A3" s="248" t="s">
        <v>278</v>
      </c>
      <c r="B3" s="248"/>
      <c r="C3" s="248"/>
      <c r="D3" s="248"/>
      <c r="E3" s="248"/>
      <c r="F3" s="248"/>
      <c r="G3" s="248"/>
      <c r="H3" s="248"/>
      <c r="I3" s="248"/>
      <c r="J3" s="248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9'!$I$7*'Cuadro 1'!D19+'Cuadro 9'!$E$17*12</f>
        <v>7935615870.183332</v>
      </c>
      <c r="C11" s="3">
        <f>+'Cuadro 9'!$I$7+'Cuadro 9'!$E$17*12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249725912.9258575</v>
      </c>
      <c r="C23" s="3">
        <f>+'Cuadro 4'!E39+'Cuadro 4'!E49</f>
        <v>249725912.9258575</v>
      </c>
      <c r="D23" s="3">
        <f>+'Cuadro 4'!F39+'Cuadro 4'!F49</f>
        <v>249725912.9258575</v>
      </c>
      <c r="E23" s="3">
        <f>+'Cuadro 4'!G39+'Cuadro 4'!G49</f>
        <v>249725912.9258575</v>
      </c>
      <c r="F23" s="3">
        <f>+'Cuadro 4'!H39+'Cuadro 4'!H49</f>
        <v>249725912.9258575</v>
      </c>
      <c r="G23" s="3">
        <f>+'Cuadro 4'!I39+'Cuadro 4'!I49</f>
        <v>69861120</v>
      </c>
      <c r="H23" s="3">
        <f>+'Cuadro 4'!J39+'Cuadro 4'!J49</f>
        <v>69861120</v>
      </c>
      <c r="I23" s="3">
        <f>+'Cuadro 4'!K39+'Cuadro 4'!K49</f>
        <v>69861120</v>
      </c>
      <c r="J23" s="3">
        <f>+'Cuadro 4'!L39+'Cuadro 4'!L49</f>
        <v>69861120</v>
      </c>
      <c r="K23" s="3">
        <f>+'Cuadro 4'!M39+'Cuadro 4'!M49</f>
        <v>69861120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2253579381.6908073</v>
      </c>
      <c r="C25" s="5">
        <f aca="true" t="shared" si="4" ref="C25:K25">+C17-C21-C23</f>
        <v>4690119055.29081</v>
      </c>
      <c r="D25" s="5">
        <f t="shared" si="4"/>
        <v>5141769547.412811</v>
      </c>
      <c r="E25" s="5">
        <f t="shared" si="4"/>
        <v>5630924495.942411</v>
      </c>
      <c r="F25" s="5">
        <f t="shared" si="4"/>
        <v>6160248139.357351</v>
      </c>
      <c r="G25" s="5">
        <f t="shared" si="4"/>
        <v>6913587225.086521</v>
      </c>
      <c r="H25" s="5">
        <f t="shared" si="4"/>
        <v>7531703744.5444565</v>
      </c>
      <c r="I25" s="5">
        <f t="shared" si="4"/>
        <v>8198652182.122578</v>
      </c>
      <c r="J25" s="5">
        <f t="shared" si="4"/>
        <v>8917504740.931675</v>
      </c>
      <c r="K25" s="5">
        <f t="shared" si="4"/>
        <v>9691395649.478848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9'!D16*12</f>
        <v>382028619.03530663</v>
      </c>
      <c r="C31" s="1">
        <f>+B31*$B$46+B31</f>
        <v>427872053.3195434</v>
      </c>
      <c r="D31" s="1">
        <f aca="true" t="shared" si="6" ref="D31:K31">+C31*$B$46+C31</f>
        <v>479216699.71788865</v>
      </c>
      <c r="E31" s="1">
        <f t="shared" si="6"/>
        <v>536722703.6840353</v>
      </c>
      <c r="F31" s="1">
        <f t="shared" si="6"/>
        <v>601129428.1261195</v>
      </c>
      <c r="G31" s="1">
        <f t="shared" si="6"/>
        <v>673264959.5012538</v>
      </c>
      <c r="H31" s="1">
        <f t="shared" si="6"/>
        <v>754056754.6414043</v>
      </c>
      <c r="I31" s="1">
        <f t="shared" si="6"/>
        <v>844543565.1983728</v>
      </c>
      <c r="J31" s="1">
        <f t="shared" si="6"/>
        <v>945888793.0221776</v>
      </c>
      <c r="K31" s="1">
        <f t="shared" si="6"/>
        <v>1059395448.1848389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0.043674678860152576</v>
      </c>
      <c r="C33" s="13">
        <f t="shared" si="7"/>
        <v>0.03813419811543946</v>
      </c>
      <c r="D33" s="13">
        <f t="shared" si="7"/>
        <v>0.038207479179542515</v>
      </c>
      <c r="E33" s="13">
        <f t="shared" si="7"/>
        <v>0.03828142043341227</v>
      </c>
      <c r="F33" s="13">
        <f t="shared" si="7"/>
        <v>0.038356027824704264</v>
      </c>
      <c r="G33" s="13">
        <f t="shared" si="7"/>
        <v>0.03843130735465656</v>
      </c>
      <c r="H33" s="13">
        <f t="shared" si="7"/>
        <v>0.038507265078572384</v>
      </c>
      <c r="I33" s="13">
        <f t="shared" si="7"/>
        <v>0.03858390710630727</v>
      </c>
      <c r="J33" s="13">
        <f t="shared" si="7"/>
        <v>0.03866123960276049</v>
      </c>
      <c r="K33" s="13">
        <f>K35/K9</f>
        <v>0.038739268788370945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459785057.8738066</v>
      </c>
      <c r="C35" s="3">
        <f t="shared" si="8"/>
        <v>578724682.3660434</v>
      </c>
      <c r="D35" s="3">
        <f t="shared" si="8"/>
        <v>643618843.5280488</v>
      </c>
      <c r="E35" s="3">
        <f t="shared" si="8"/>
        <v>715799495.9500834</v>
      </c>
      <c r="F35" s="3">
        <f t="shared" si="8"/>
        <v>796085929.6946157</v>
      </c>
      <c r="G35" s="3">
        <f t="shared" si="8"/>
        <v>885389689.8538494</v>
      </c>
      <c r="H35" s="3">
        <f t="shared" si="8"/>
        <v>984724980.5777379</v>
      </c>
      <c r="I35" s="3">
        <f t="shared" si="8"/>
        <v>1095220244.2620502</v>
      </c>
      <c r="J35" s="3">
        <f t="shared" si="8"/>
        <v>1218131048.8501277</v>
      </c>
      <c r="K35" s="3">
        <f>SUM(K29+K31)</f>
        <v>1354854431.2692044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1793794323.8170009</v>
      </c>
      <c r="C38" s="133">
        <f aca="true" t="shared" si="9" ref="C38:J38">C25-C35</f>
        <v>4111394372.924766</v>
      </c>
      <c r="D38" s="133">
        <f t="shared" si="9"/>
        <v>4498150703.884763</v>
      </c>
      <c r="E38" s="133">
        <f t="shared" si="9"/>
        <v>4915124999.992328</v>
      </c>
      <c r="F38" s="133">
        <f t="shared" si="9"/>
        <v>5364162209.662736</v>
      </c>
      <c r="G38" s="133">
        <f t="shared" si="9"/>
        <v>6028197535.232672</v>
      </c>
      <c r="H38" s="133">
        <f t="shared" si="9"/>
        <v>6546978763.966719</v>
      </c>
      <c r="I38" s="133">
        <f t="shared" si="9"/>
        <v>7103431937.860527</v>
      </c>
      <c r="J38" s="133">
        <f t="shared" si="9"/>
        <v>7699373692.081547</v>
      </c>
      <c r="K38" s="133">
        <f>K25-K35</f>
        <v>8336541218.209643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0.17039133763101608</v>
      </c>
      <c r="C40" s="32">
        <f t="shared" si="10"/>
        <v>0.2709141882575688</v>
      </c>
      <c r="D40" s="32">
        <f t="shared" si="10"/>
        <v>0.26702605290895565</v>
      </c>
      <c r="E40" s="32">
        <f t="shared" si="10"/>
        <v>0.26286406692385134</v>
      </c>
      <c r="F40" s="32">
        <f t="shared" si="10"/>
        <v>0.2584494302631092</v>
      </c>
      <c r="G40" s="32">
        <f t="shared" si="10"/>
        <v>0.2616605037600469</v>
      </c>
      <c r="H40" s="32">
        <f t="shared" si="10"/>
        <v>0.25601691000053634</v>
      </c>
      <c r="I40" s="32">
        <f t="shared" si="10"/>
        <v>0.2502493534632007</v>
      </c>
      <c r="J40" s="32">
        <f t="shared" si="10"/>
        <v>0.24436396345183276</v>
      </c>
      <c r="K40" s="32">
        <f>K38/K9</f>
        <v>0.238366206408626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F23" sqref="F23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spans="1:10" ht="12.75">
      <c r="A2" s="216" t="s">
        <v>279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>
      <c r="A3" s="248" t="s">
        <v>272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2:4" ht="12.75">
      <c r="B4" s="216" t="s">
        <v>205</v>
      </c>
      <c r="C4" s="216"/>
      <c r="D4" s="216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9'!D18</f>
        <v>912368457.2186399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9'!I4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0.17635689915213318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9'!I5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0.1585360479979486</v>
      </c>
      <c r="K12" s="9"/>
    </row>
    <row r="13" spans="1:11" ht="12.75">
      <c r="A13" s="28" t="s">
        <v>266</v>
      </c>
      <c r="C13" s="19">
        <f>+'Cuadro 1'!$D$19*'Cuadro 9'!I6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0.1523429862493313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5354547184.754085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3">
    <mergeCell ref="A3:J3"/>
    <mergeCell ref="B4:D4"/>
    <mergeCell ref="A2:J2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17" t="s">
        <v>137</v>
      </c>
      <c r="C3" s="218"/>
      <c r="D3" s="218"/>
      <c r="E3" s="218"/>
      <c r="F3" s="218"/>
      <c r="G3" s="218"/>
      <c r="H3" s="221"/>
    </row>
    <row r="4" spans="2:8" ht="13.5" thickBot="1">
      <c r="B4" s="219" t="s">
        <v>138</v>
      </c>
      <c r="C4" s="220"/>
      <c r="D4" s="220"/>
      <c r="E4" s="220"/>
      <c r="F4" s="220"/>
      <c r="G4" s="220"/>
      <c r="H4" s="220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E23" sqref="E23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2" t="s">
        <v>150</v>
      </c>
      <c r="C2" s="223"/>
      <c r="D2" s="223"/>
      <c r="E2" s="224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17" t="s">
        <v>145</v>
      </c>
      <c r="C2" s="218"/>
      <c r="D2" s="218"/>
      <c r="E2" s="218"/>
      <c r="F2" s="218"/>
      <c r="G2" s="218"/>
      <c r="H2" s="221"/>
    </row>
    <row r="3" spans="2:8" ht="13.5" thickBot="1">
      <c r="B3" s="219" t="s">
        <v>146</v>
      </c>
      <c r="C3" s="220"/>
      <c r="D3" s="220"/>
      <c r="E3" s="220"/>
      <c r="F3" s="220"/>
      <c r="G3" s="220"/>
      <c r="H3" s="220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25" t="s">
        <v>214</v>
      </c>
      <c r="C3" s="225"/>
      <c r="D3" s="225"/>
      <c r="E3" s="226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27" t="s">
        <v>215</v>
      </c>
      <c r="D5" s="227"/>
      <c r="E5" s="228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9'!H7+'Cuadro 9'!C18+SUM('Cuadro 9'!H7+'Cuadro 9'!C18)*20%-C14</f>
        <v>802967825.5618639</v>
      </c>
      <c r="E14" s="158">
        <f>+C14+D14</f>
        <v>1052967825.5618639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1932727825.561864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29"/>
      <c r="C19" s="229"/>
      <c r="D19" s="229"/>
      <c r="E19" s="229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0"/>
      <c r="D21" s="230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0">
      <selection activeCell="I32" sqref="I32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17" t="s">
        <v>151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21"/>
    </row>
    <row r="4" spans="2:14" ht="13.5" thickBot="1">
      <c r="B4" s="219" t="s">
        <v>234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31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5</v>
      </c>
      <c r="D15" s="192" t="s">
        <v>237</v>
      </c>
    </row>
    <row r="16" spans="2:4" ht="25.5">
      <c r="B16" s="193" t="s">
        <v>236</v>
      </c>
      <c r="C16" s="192">
        <v>10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17" t="s">
        <v>151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</row>
    <row r="21" spans="2:16" ht="12.75">
      <c r="B21" s="214" t="s">
        <v>256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802967825.5618639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789585028.4691662</v>
      </c>
      <c r="E25" s="98">
        <f>+D25-E27</f>
        <v>776202231.3764684</v>
      </c>
      <c r="F25" s="98">
        <f aca="true" t="shared" si="3" ref="F25:O25">+E25-F27</f>
        <v>762819434.2837707</v>
      </c>
      <c r="G25" s="98">
        <f t="shared" si="3"/>
        <v>749436637.191073</v>
      </c>
      <c r="H25" s="98">
        <f t="shared" si="3"/>
        <v>736053840.0983752</v>
      </c>
      <c r="I25" s="98">
        <f t="shared" si="3"/>
        <v>722671043.0056775</v>
      </c>
      <c r="J25" s="98">
        <f t="shared" si="3"/>
        <v>709288245.9129797</v>
      </c>
      <c r="K25" s="98">
        <f t="shared" si="3"/>
        <v>695905448.820282</v>
      </c>
      <c r="L25" s="98">
        <f t="shared" si="3"/>
        <v>682522651.7275842</v>
      </c>
      <c r="M25" s="98">
        <f t="shared" si="3"/>
        <v>669139854.6348865</v>
      </c>
      <c r="N25" s="98">
        <f t="shared" si="3"/>
        <v>655757057.5421888</v>
      </c>
      <c r="O25" s="98">
        <f t="shared" si="3"/>
        <v>642374260.449491</v>
      </c>
      <c r="P25" s="202">
        <f>+O25</f>
        <v>642374260.449491</v>
      </c>
    </row>
    <row r="26" spans="2:16" ht="12.75">
      <c r="B26" s="93" t="s">
        <v>254</v>
      </c>
      <c r="C26" s="157"/>
      <c r="D26" s="196">
        <f aca="true" t="shared" si="4" ref="D26:O26">+$C$24/(5*12)*$C$17</f>
        <v>1605935.651123728</v>
      </c>
      <c r="E26" s="196">
        <f t="shared" si="4"/>
        <v>1605935.651123728</v>
      </c>
      <c r="F26" s="196">
        <f t="shared" si="4"/>
        <v>1605935.651123728</v>
      </c>
      <c r="G26" s="196">
        <f t="shared" si="4"/>
        <v>1605935.651123728</v>
      </c>
      <c r="H26" s="196">
        <f t="shared" si="4"/>
        <v>1605935.651123728</v>
      </c>
      <c r="I26" s="196">
        <f t="shared" si="4"/>
        <v>1605935.651123728</v>
      </c>
      <c r="J26" s="196">
        <f t="shared" si="4"/>
        <v>1605935.651123728</v>
      </c>
      <c r="K26" s="196">
        <f t="shared" si="4"/>
        <v>1605935.651123728</v>
      </c>
      <c r="L26" s="196">
        <f t="shared" si="4"/>
        <v>1605935.651123728</v>
      </c>
      <c r="M26" s="196">
        <f t="shared" si="4"/>
        <v>1605935.651123728</v>
      </c>
      <c r="N26" s="196">
        <f t="shared" si="4"/>
        <v>1605935.651123728</v>
      </c>
      <c r="O26" s="196">
        <f t="shared" si="4"/>
        <v>1605935.651123728</v>
      </c>
      <c r="P26" s="203">
        <f>+SUM(D26:O26)</f>
        <v>19271227.81348474</v>
      </c>
    </row>
    <row r="27" spans="2:16" ht="12.75">
      <c r="B27" s="93" t="s">
        <v>255</v>
      </c>
      <c r="C27" s="157"/>
      <c r="D27" s="196">
        <f aca="true" t="shared" si="5" ref="D27:O27">+$C$24/(5*12)</f>
        <v>13382797.092697732</v>
      </c>
      <c r="E27" s="196">
        <f t="shared" si="5"/>
        <v>13382797.092697732</v>
      </c>
      <c r="F27" s="196">
        <f t="shared" si="5"/>
        <v>13382797.092697732</v>
      </c>
      <c r="G27" s="196">
        <f t="shared" si="5"/>
        <v>13382797.092697732</v>
      </c>
      <c r="H27" s="196">
        <f t="shared" si="5"/>
        <v>13382797.092697732</v>
      </c>
      <c r="I27" s="196">
        <f t="shared" si="5"/>
        <v>13382797.092697732</v>
      </c>
      <c r="J27" s="196">
        <f t="shared" si="5"/>
        <v>13382797.092697732</v>
      </c>
      <c r="K27" s="196">
        <f t="shared" si="5"/>
        <v>13382797.092697732</v>
      </c>
      <c r="L27" s="196">
        <f t="shared" si="5"/>
        <v>13382797.092697732</v>
      </c>
      <c r="M27" s="196">
        <f t="shared" si="5"/>
        <v>13382797.092697732</v>
      </c>
      <c r="N27" s="196">
        <f t="shared" si="5"/>
        <v>13382797.092697732</v>
      </c>
      <c r="O27" s="196">
        <f t="shared" si="5"/>
        <v>13382797.092697732</v>
      </c>
      <c r="P27" s="203">
        <f>+SUM(D27:O27)</f>
        <v>160593565.11237282</v>
      </c>
    </row>
    <row r="28" spans="2:16" ht="26.25" thickBot="1">
      <c r="B28" s="74" t="s">
        <v>259</v>
      </c>
      <c r="C28" s="197"/>
      <c r="D28" s="198">
        <f>+D26+D27</f>
        <v>14988732.74382146</v>
      </c>
      <c r="E28" s="198">
        <f aca="true" t="shared" si="6" ref="E28:O28">+E26+E27</f>
        <v>14988732.74382146</v>
      </c>
      <c r="F28" s="198">
        <f t="shared" si="6"/>
        <v>14988732.74382146</v>
      </c>
      <c r="G28" s="198">
        <f t="shared" si="6"/>
        <v>14988732.74382146</v>
      </c>
      <c r="H28" s="198">
        <f t="shared" si="6"/>
        <v>14988732.74382146</v>
      </c>
      <c r="I28" s="198">
        <f t="shared" si="6"/>
        <v>14988732.74382146</v>
      </c>
      <c r="J28" s="198">
        <f t="shared" si="6"/>
        <v>14988732.74382146</v>
      </c>
      <c r="K28" s="198">
        <f t="shared" si="6"/>
        <v>14988732.74382146</v>
      </c>
      <c r="L28" s="198">
        <f t="shared" si="6"/>
        <v>14988732.74382146</v>
      </c>
      <c r="M28" s="198">
        <f t="shared" si="6"/>
        <v>14988732.74382146</v>
      </c>
      <c r="N28" s="198">
        <f t="shared" si="6"/>
        <v>14988732.74382146</v>
      </c>
      <c r="O28" s="198">
        <f t="shared" si="6"/>
        <v>14988732.74382146</v>
      </c>
      <c r="P28" s="203">
        <f>+SUM(D28:O28)</f>
        <v>179864792.92585754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17" t="s">
        <v>151</v>
      </c>
      <c r="C31" s="218"/>
      <c r="D31" s="218"/>
      <c r="E31" s="218"/>
      <c r="F31" s="218"/>
      <c r="G31" s="218"/>
      <c r="H31" s="221"/>
    </row>
    <row r="32" spans="2:8" ht="13.5" thickBot="1">
      <c r="B32" s="219" t="s">
        <v>256</v>
      </c>
      <c r="C32" s="220"/>
      <c r="D32" s="220"/>
      <c r="E32" s="220"/>
      <c r="F32" s="220"/>
      <c r="G32" s="220"/>
      <c r="H32" s="231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802967825.5618639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642374260.4494911</v>
      </c>
      <c r="E36" s="98">
        <f>+D36-($C$35/5)</f>
        <v>481780695.3371184</v>
      </c>
      <c r="F36" s="98">
        <f>+E36-($C$35/5)</f>
        <v>321187130.22474563</v>
      </c>
      <c r="G36" s="98">
        <f>+F36-($C$35/5)</f>
        <v>160593565.11237285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19271227.813484736</v>
      </c>
      <c r="E37" s="98">
        <f>D37</f>
        <v>19271227.813484736</v>
      </c>
      <c r="F37" s="98">
        <f>E37</f>
        <v>19271227.813484736</v>
      </c>
      <c r="G37" s="98">
        <f>F37</f>
        <v>19271227.813484736</v>
      </c>
      <c r="H37" s="100">
        <f>G37</f>
        <v>19271227.813484736</v>
      </c>
    </row>
    <row r="38" spans="2:8" ht="13.5" thickBot="1">
      <c r="B38" s="74" t="s">
        <v>255</v>
      </c>
      <c r="C38" s="102"/>
      <c r="D38" s="101">
        <f>+$C$35/5</f>
        <v>160593565.1123728</v>
      </c>
      <c r="E38" s="101">
        <f>+$C$35/5</f>
        <v>160593565.1123728</v>
      </c>
      <c r="F38" s="101">
        <f>+$C$35/5</f>
        <v>160593565.1123728</v>
      </c>
      <c r="G38" s="101">
        <f>+$C$35/5</f>
        <v>160593565.1123728</v>
      </c>
      <c r="H38" s="103">
        <f>+$C$35/5</f>
        <v>160593565.1123728</v>
      </c>
    </row>
    <row r="39" spans="2:8" ht="27" thickBot="1" thickTop="1">
      <c r="B39" s="94" t="s">
        <v>259</v>
      </c>
      <c r="C39" s="80"/>
      <c r="D39" s="104">
        <f>+D38+D37</f>
        <v>179864792.9258575</v>
      </c>
      <c r="E39" s="104">
        <f>+E38+E37</f>
        <v>179864792.9258575</v>
      </c>
      <c r="F39" s="104">
        <f>+F38+F37</f>
        <v>179864792.9258575</v>
      </c>
      <c r="G39" s="104">
        <f>+G38+G37</f>
        <v>179864792.9258575</v>
      </c>
      <c r="H39" s="105">
        <f>+H38+H37</f>
        <v>179864792.9258575</v>
      </c>
    </row>
    <row r="41" ht="13.5" thickBot="1"/>
    <row r="42" spans="2:13" ht="12.75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</row>
    <row r="43" spans="2:13" ht="12.75">
      <c r="B43" s="232" t="s">
        <v>260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4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499008000</v>
      </c>
      <c r="F46" s="98">
        <f aca="true" t="shared" si="7" ref="F46:M46">+E46-$D$48</f>
        <v>436632000</v>
      </c>
      <c r="G46" s="98">
        <f t="shared" si="7"/>
        <v>374256000</v>
      </c>
      <c r="H46" s="98">
        <f t="shared" si="7"/>
        <v>311880000</v>
      </c>
      <c r="I46" s="98">
        <f t="shared" si="7"/>
        <v>249504000</v>
      </c>
      <c r="J46" s="98">
        <f t="shared" si="7"/>
        <v>187128000</v>
      </c>
      <c r="K46" s="98">
        <f t="shared" si="7"/>
        <v>124752000</v>
      </c>
      <c r="L46" s="98">
        <f t="shared" si="7"/>
        <v>62376000</v>
      </c>
      <c r="M46" s="100">
        <f t="shared" si="7"/>
        <v>0</v>
      </c>
    </row>
    <row r="47" spans="2:13" ht="12.75">
      <c r="B47" s="93" t="s">
        <v>254</v>
      </c>
      <c r="C47" s="157"/>
      <c r="D47" s="196">
        <f>+$C$45*$C$17/$C$16</f>
        <v>7485120</v>
      </c>
      <c r="E47" s="196">
        <f aca="true" t="shared" si="8" ref="E47:M47">+$C$45*$C$17/$C$16</f>
        <v>7485120</v>
      </c>
      <c r="F47" s="196">
        <f t="shared" si="8"/>
        <v>7485120</v>
      </c>
      <c r="G47" s="196">
        <f t="shared" si="8"/>
        <v>7485120</v>
      </c>
      <c r="H47" s="196">
        <f t="shared" si="8"/>
        <v>7485120</v>
      </c>
      <c r="I47" s="196">
        <f t="shared" si="8"/>
        <v>7485120</v>
      </c>
      <c r="J47" s="196">
        <f t="shared" si="8"/>
        <v>7485120</v>
      </c>
      <c r="K47" s="196">
        <f t="shared" si="8"/>
        <v>7485120</v>
      </c>
      <c r="L47" s="196">
        <f t="shared" si="8"/>
        <v>7485120</v>
      </c>
      <c r="M47" s="205">
        <f t="shared" si="8"/>
        <v>7485120</v>
      </c>
    </row>
    <row r="48" spans="2:13" ht="12.75">
      <c r="B48" s="74" t="s">
        <v>255</v>
      </c>
      <c r="C48" s="157"/>
      <c r="D48" s="196">
        <f>+$C$45/$C$16</f>
        <v>62376000</v>
      </c>
      <c r="E48" s="196">
        <f aca="true" t="shared" si="9" ref="E48:M48">+$C$45/$C$16</f>
        <v>62376000</v>
      </c>
      <c r="F48" s="196">
        <f t="shared" si="9"/>
        <v>62376000</v>
      </c>
      <c r="G48" s="196">
        <f t="shared" si="9"/>
        <v>62376000</v>
      </c>
      <c r="H48" s="196">
        <f t="shared" si="9"/>
        <v>62376000</v>
      </c>
      <c r="I48" s="196">
        <f t="shared" si="9"/>
        <v>62376000</v>
      </c>
      <c r="J48" s="196">
        <f t="shared" si="9"/>
        <v>62376000</v>
      </c>
      <c r="K48" s="196">
        <f t="shared" si="9"/>
        <v>62376000</v>
      </c>
      <c r="L48" s="196">
        <f t="shared" si="9"/>
        <v>62376000</v>
      </c>
      <c r="M48" s="205">
        <f t="shared" si="9"/>
        <v>62376000</v>
      </c>
    </row>
    <row r="49" spans="2:13" ht="26.25" thickBot="1">
      <c r="B49" s="94" t="s">
        <v>259</v>
      </c>
      <c r="C49" s="206"/>
      <c r="D49" s="207">
        <f>+D47+D48</f>
        <v>69861120</v>
      </c>
      <c r="E49" s="207">
        <f aca="true" t="shared" si="10" ref="E49:M49">+E47+E48</f>
        <v>69861120</v>
      </c>
      <c r="F49" s="207">
        <f t="shared" si="10"/>
        <v>69861120</v>
      </c>
      <c r="G49" s="207">
        <f t="shared" si="10"/>
        <v>69861120</v>
      </c>
      <c r="H49" s="207">
        <f t="shared" si="10"/>
        <v>69861120</v>
      </c>
      <c r="I49" s="207">
        <f t="shared" si="10"/>
        <v>69861120</v>
      </c>
      <c r="J49" s="207">
        <f t="shared" si="10"/>
        <v>69861120</v>
      </c>
      <c r="K49" s="207">
        <f t="shared" si="10"/>
        <v>69861120</v>
      </c>
      <c r="L49" s="207">
        <f t="shared" si="10"/>
        <v>69861120</v>
      </c>
      <c r="M49" s="208">
        <f t="shared" si="10"/>
        <v>69861120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6"/>
  <sheetViews>
    <sheetView showGridLines="0" workbookViewId="0" topLeftCell="A1">
      <selection activeCell="F14" sqref="F14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spans="1:3" ht="13.5" thickBot="1">
      <c r="A2" s="240" t="s">
        <v>274</v>
      </c>
      <c r="B2" s="240"/>
      <c r="C2" s="240"/>
    </row>
    <row r="3" spans="1:3" ht="13.5" customHeight="1" thickBot="1">
      <c r="A3" s="213"/>
      <c r="B3" s="238" t="s">
        <v>273</v>
      </c>
      <c r="C3" s="239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802967825.5618639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1426727825.561864</v>
      </c>
    </row>
    <row r="19" spans="2:3" ht="12.75">
      <c r="B19" s="102"/>
      <c r="C19" s="168"/>
    </row>
    <row r="21" spans="1:3" ht="12.75">
      <c r="A21" s="96"/>
      <c r="B21" s="229"/>
      <c r="C21" s="229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3">
    <mergeCell ref="B3:C3"/>
    <mergeCell ref="B21:C2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1" t="s">
        <v>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5000000</v>
      </c>
      <c r="C4" s="16">
        <f>+(B4*4.16%)</f>
        <v>208000</v>
      </c>
      <c r="D4" s="16">
        <f aca="true" t="shared" si="0" ref="D4:D13">+((B4/30)*15)/12</f>
        <v>208333.33333333334</v>
      </c>
      <c r="E4" s="16">
        <f>+B4*9%</f>
        <v>450000</v>
      </c>
      <c r="F4" s="16">
        <f>+B4*2%</f>
        <v>100000</v>
      </c>
      <c r="G4" s="16">
        <f aca="true" t="shared" si="1" ref="G4:G13">+((B4/30)*7)/12</f>
        <v>97222.2222222222</v>
      </c>
      <c r="H4" s="16">
        <v>0</v>
      </c>
      <c r="I4" s="16">
        <f aca="true" t="shared" si="2" ref="I4:I13">((B4+C4)/30)*5</f>
        <v>868000</v>
      </c>
      <c r="J4" s="16">
        <f aca="true" t="shared" si="3" ref="J4:J13">+B4*1.7%</f>
        <v>85000</v>
      </c>
      <c r="K4" s="16">
        <f aca="true" t="shared" si="4" ref="K4:K13">+B4*2%</f>
        <v>100000</v>
      </c>
      <c r="L4" s="17">
        <f aca="true" t="shared" si="5" ref="L4:L13">SUM(B4:K4)</f>
        <v>7116555.555555555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53652208.73749999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H29" sqref="H29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2" t="s">
        <v>189</v>
      </c>
      <c r="C2" s="242"/>
      <c r="D2" s="242"/>
      <c r="E2" s="242"/>
      <c r="F2" s="242"/>
      <c r="G2" s="242"/>
      <c r="H2" s="242"/>
      <c r="I2" s="242"/>
      <c r="J2" s="242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3" t="s">
        <v>182</v>
      </c>
      <c r="C14" s="243"/>
      <c r="D14" s="243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3" t="s">
        <v>182</v>
      </c>
      <c r="H15" s="243"/>
      <c r="I15" s="243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2" t="s">
        <v>188</v>
      </c>
      <c r="H18" s="244"/>
      <c r="I18" s="245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6" t="s">
        <v>187</v>
      </c>
      <c r="I19" s="246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7">
        <v>0.7</v>
      </c>
      <c r="I20" s="247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7">
        <v>0.2</v>
      </c>
      <c r="I21" s="247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7">
        <v>0.1</v>
      </c>
      <c r="I22" s="247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2" t="s">
        <v>186</v>
      </c>
      <c r="H24" s="223"/>
      <c r="I24" s="224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3" t="s">
        <v>182</v>
      </c>
      <c r="C29" s="243"/>
      <c r="D29" s="243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2007-02-06T17:54:12Z</dcterms:modified>
  <cp:category/>
  <cp:version/>
  <cp:contentType/>
  <cp:contentStatus/>
</cp:coreProperties>
</file>